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SEP_Interne\INDICATEURS\Tableaux de bord 2026\Pour publication WEB\"/>
    </mc:Choice>
  </mc:AlternateContent>
  <xr:revisionPtr revIDLastSave="0" documentId="13_ncr:1_{E6771BB9-47E9-4DCA-83F0-73C5CC1501D0}" xr6:coauthVersionLast="47" xr6:coauthVersionMax="47" xr10:uidLastSave="{00000000-0000-0000-0000-000000000000}"/>
  <bookViews>
    <workbookView xWindow="13140" yWindow="-16320" windowWidth="29040" windowHeight="15720" tabRatio="778" xr2:uid="{00000000-000D-0000-FFFF-FFFF00000000}"/>
  </bookViews>
  <sheets>
    <sheet name="Fiche GT" sheetId="139" r:id="rId1"/>
    <sheet name="Fiche PRO" sheetId="153" r:id="rId2"/>
    <sheet name="Base_lyc" sheetId="154" r:id="rId3"/>
    <sheet name="Extract_R__18_08_26" sheetId="155" r:id="rId4"/>
  </sheets>
  <definedNames>
    <definedName name="_xlnm._FilterDatabase" localSheetId="2" hidden="1">Base_lyc!$A$15:$CI$29</definedName>
    <definedName name="abs_coll_av">#REF!</definedName>
    <definedName name="abs_coll_av_eff" localSheetId="0">#REF!</definedName>
    <definedName name="abs_coll_av_eff" localSheetId="1">#REF!</definedName>
    <definedName name="abs_coll_av_eff">#REF!</definedName>
    <definedName name="Abs_coll_avc_eff" localSheetId="0">#REF!</definedName>
    <definedName name="Abs_coll_avc_eff" localSheetId="1">#REF!</definedName>
    <definedName name="Abs_coll_avc_eff">#REF!</definedName>
    <definedName name="absentéisme_collèges_avec_effectifs" localSheetId="0">#REF!</definedName>
    <definedName name="absentéisme_collèges_avec_effectifs" localSheetId="1">#REF!</definedName>
    <definedName name="absentéisme_collèges_avec_effectifs">#REF!</definedName>
    <definedName name="Class" localSheetId="0">#REF!</definedName>
    <definedName name="Class" localSheetId="1">#REF!</definedName>
    <definedName name="Class">#REF!</definedName>
    <definedName name="Etablissement_Code">#REF!</definedName>
    <definedName name="faits_par_étab_2015_2016" localSheetId="0">#REF!</definedName>
    <definedName name="faits_par_étab_2015_2016" localSheetId="1">#REF!</definedName>
    <definedName name="faits_par_étab_2015_2016">#REF!</definedName>
    <definedName name="ids_lp_2015_2016" localSheetId="0">#REF!</definedName>
    <definedName name="ids_lp_2015_2016" localSheetId="1">#REF!</definedName>
    <definedName name="ids_lp_2015_2016">#REF!</definedName>
    <definedName name="ids_lycées_publics" localSheetId="0">#REF!</definedName>
    <definedName name="ids_lycées_publics" localSheetId="1">#REF!</definedName>
    <definedName name="ids_lycées_publics">#REF!</definedName>
    <definedName name="LP_abs1516" localSheetId="0">#REF!</definedName>
    <definedName name="LP_abs1516" localSheetId="1">#REF!</definedName>
    <definedName name="LP_abs1516">#REF!</definedName>
    <definedName name="lp_absentéisme_2015_2016" localSheetId="0">#REF!</definedName>
    <definedName name="lp_absentéisme_2015_2016" localSheetId="1">#REF!</definedName>
    <definedName name="lp_absentéisme_2015_2016">#REF!</definedName>
    <definedName name="lycées_absentéisme_2015_2016" localSheetId="0">#REF!</definedName>
    <definedName name="lycées_absentéisme_2015_2016" localSheetId="1">#REF!</definedName>
    <definedName name="lycées_absentéisme_2015_2016">#REF!</definedName>
    <definedName name="Moyenne_CCF_par_Etab" localSheetId="0">#REF!</definedName>
    <definedName name="Moyenne_CCF_par_Etab" localSheetId="1">#REF!</definedName>
    <definedName name="Moyenne_CCF_par_Etab">#REF!</definedName>
    <definedName name="moyenne_ccf_par_étab" localSheetId="0">#REF!</definedName>
    <definedName name="moyenne_ccf_par_étab" localSheetId="1">#REF!</definedName>
    <definedName name="moyenne_ccf_par_étab">#REF!</definedName>
    <definedName name="moyenne_ep_par_étab" localSheetId="0">#REF!</definedName>
    <definedName name="moyenne_ep_par_étab" localSheetId="1">#REF!</definedName>
    <definedName name="moyenne_ep_par_étab">#REF!</definedName>
    <definedName name="nuages" localSheetId="0">#REF!</definedName>
    <definedName name="nuages" localSheetId="1">#REF!</definedName>
    <definedName name="nuages">#REF!</definedName>
    <definedName name="_xlnm.Print_Area" localSheetId="0">'Fiche GT'!$A$1:$I$66,'Fiche GT'!$A$68:$I$122</definedName>
    <definedName name="_xlnm.Print_Area" localSheetId="1">'Fiche PRO'!$A$1:$I$120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C16" i="154" l="1"/>
  <c r="CC17" i="154"/>
  <c r="CC18" i="154"/>
  <c r="CC19" i="154"/>
  <c r="CC20" i="154"/>
  <c r="CC21" i="154"/>
  <c r="CC22" i="154"/>
  <c r="CC23" i="154"/>
  <c r="CC24" i="154"/>
  <c r="CC25" i="154"/>
  <c r="CC26" i="154"/>
  <c r="CC27" i="154"/>
  <c r="CC28" i="154"/>
  <c r="CC29" i="154"/>
  <c r="CC15" i="154"/>
  <c r="CC3" i="154"/>
  <c r="CC4" i="154"/>
  <c r="CC5" i="154"/>
  <c r="CC6" i="154"/>
  <c r="CC7" i="154"/>
  <c r="CC8" i="154"/>
  <c r="CC9" i="154"/>
  <c r="CC10" i="154"/>
  <c r="CC11" i="154"/>
  <c r="CC2" i="154"/>
  <c r="N3" i="154"/>
  <c r="N4" i="154"/>
  <c r="N5" i="154"/>
  <c r="N6" i="154"/>
  <c r="N7" i="154"/>
  <c r="N8" i="154"/>
  <c r="N9" i="154"/>
  <c r="N10" i="154"/>
  <c r="N11" i="154"/>
  <c r="N2" i="154"/>
  <c r="N16" i="154" l="1"/>
  <c r="N17" i="154"/>
  <c r="N18" i="154"/>
  <c r="N19" i="154"/>
  <c r="N20" i="154"/>
  <c r="N21" i="154"/>
  <c r="N22" i="154"/>
  <c r="N23" i="154"/>
  <c r="N24" i="154"/>
  <c r="N25" i="154"/>
  <c r="N26" i="154"/>
  <c r="N27" i="154"/>
  <c r="N28" i="154"/>
  <c r="N29" i="154"/>
  <c r="N15" i="154"/>
  <c r="P16" i="154"/>
  <c r="P17" i="154"/>
  <c r="P18" i="154"/>
  <c r="P19" i="154"/>
  <c r="P20" i="154"/>
  <c r="P21" i="154"/>
  <c r="P22" i="154"/>
  <c r="P23" i="154"/>
  <c r="P24" i="154"/>
  <c r="P25" i="154"/>
  <c r="P26" i="154"/>
  <c r="P27" i="154"/>
  <c r="P28" i="154"/>
  <c r="P29" i="154"/>
  <c r="P15" i="154"/>
  <c r="O3" i="154"/>
  <c r="P3" i="154"/>
  <c r="O4" i="154"/>
  <c r="P4" i="154"/>
  <c r="O5" i="154"/>
  <c r="P5" i="154"/>
  <c r="O6" i="154"/>
  <c r="P6" i="154"/>
  <c r="O7" i="154"/>
  <c r="P7" i="154"/>
  <c r="O8" i="154"/>
  <c r="P8" i="154"/>
  <c r="O9" i="154"/>
  <c r="P9" i="154"/>
  <c r="O10" i="154"/>
  <c r="P10" i="154"/>
  <c r="O11" i="154"/>
  <c r="P11" i="154"/>
  <c r="P2" i="154"/>
  <c r="O2" i="154"/>
  <c r="F27" i="139" l="1"/>
  <c r="E27" i="139"/>
  <c r="D27" i="139"/>
  <c r="B3" i="153" l="1"/>
  <c r="F54" i="153" l="1"/>
  <c r="I59" i="153"/>
  <c r="I60" i="153"/>
  <c r="F52" i="153"/>
  <c r="G59" i="153"/>
  <c r="G60" i="153"/>
  <c r="I41" i="153"/>
  <c r="F59" i="153"/>
  <c r="F60" i="153"/>
  <c r="F41" i="153"/>
  <c r="I40" i="153"/>
  <c r="G40" i="153"/>
  <c r="F40" i="153"/>
  <c r="I42" i="153"/>
  <c r="G42" i="153"/>
  <c r="G52" i="153"/>
  <c r="F42" i="153"/>
  <c r="I44" i="153"/>
  <c r="G44" i="153"/>
  <c r="F45" i="153"/>
  <c r="I61" i="153"/>
  <c r="F44" i="153"/>
  <c r="G45" i="153"/>
  <c r="G61" i="153"/>
  <c r="I39" i="153"/>
  <c r="I45" i="153"/>
  <c r="I54" i="153"/>
  <c r="F61" i="153"/>
  <c r="G39" i="153"/>
  <c r="I46" i="153"/>
  <c r="I52" i="153"/>
  <c r="F39" i="153"/>
  <c r="G46" i="153"/>
  <c r="G54" i="153"/>
  <c r="F46" i="153"/>
  <c r="G41" i="153"/>
  <c r="H70" i="153"/>
  <c r="F70" i="153"/>
  <c r="G62" i="153"/>
  <c r="I84" i="153"/>
  <c r="I83" i="153"/>
  <c r="I69" i="153"/>
  <c r="I62" i="153"/>
  <c r="F62" i="153"/>
  <c r="H84" i="153"/>
  <c r="H83" i="153"/>
  <c r="H69" i="153"/>
  <c r="F84" i="153"/>
  <c r="G83" i="153"/>
  <c r="F69" i="153"/>
  <c r="F83" i="153"/>
  <c r="I68" i="153"/>
  <c r="H68" i="153"/>
  <c r="F68" i="153"/>
  <c r="I70" i="153"/>
  <c r="H73" i="153"/>
  <c r="H71" i="153"/>
  <c r="G73" i="153"/>
  <c r="G71" i="153"/>
  <c r="I71" i="153"/>
  <c r="H72" i="153"/>
  <c r="G72" i="153"/>
  <c r="F73" i="153"/>
  <c r="F72" i="153"/>
  <c r="F71" i="153"/>
  <c r="I73" i="153"/>
  <c r="I72" i="153"/>
  <c r="I20" i="153"/>
  <c r="I43" i="153"/>
  <c r="G43" i="153"/>
  <c r="F43" i="153"/>
  <c r="I19" i="153"/>
  <c r="G19" i="153"/>
  <c r="G20" i="153"/>
  <c r="F20" i="153"/>
  <c r="F19" i="153"/>
  <c r="E20" i="153"/>
  <c r="E19" i="153"/>
  <c r="D20" i="153"/>
  <c r="D19" i="153"/>
  <c r="S95" i="153"/>
  <c r="K95" i="153"/>
  <c r="R95" i="153"/>
  <c r="L95" i="153"/>
  <c r="Q95" i="153"/>
  <c r="M95" i="153"/>
  <c r="P95" i="153"/>
  <c r="O95" i="153"/>
  <c r="N95" i="153"/>
  <c r="G24" i="153" l="1"/>
  <c r="E24" i="153"/>
  <c r="F24" i="153"/>
  <c r="D24" i="153"/>
  <c r="B3" i="139" l="1"/>
  <c r="I43" i="139" l="1"/>
  <c r="F45" i="139"/>
  <c r="F47" i="139"/>
  <c r="F63" i="139"/>
  <c r="I62" i="139"/>
  <c r="F42" i="139"/>
  <c r="G43" i="139"/>
  <c r="F43" i="139"/>
  <c r="G63" i="139"/>
  <c r="I63" i="139"/>
  <c r="F48" i="139"/>
  <c r="G48" i="139"/>
  <c r="G62" i="139"/>
  <c r="I48" i="139"/>
  <c r="I57" i="139"/>
  <c r="F62" i="139"/>
  <c r="I49" i="139"/>
  <c r="I55" i="139"/>
  <c r="G49" i="139"/>
  <c r="G57" i="139"/>
  <c r="I64" i="139"/>
  <c r="F49" i="139"/>
  <c r="G55" i="139"/>
  <c r="G64" i="139"/>
  <c r="I42" i="139"/>
  <c r="F57" i="139"/>
  <c r="F64" i="139"/>
  <c r="G42" i="139"/>
  <c r="F55" i="139"/>
  <c r="I44" i="139"/>
  <c r="I45" i="139"/>
  <c r="I47" i="139"/>
  <c r="G44" i="139"/>
  <c r="G45" i="139"/>
  <c r="G47" i="139"/>
  <c r="F44" i="139"/>
  <c r="H88" i="139"/>
  <c r="G65" i="139"/>
  <c r="I87" i="139"/>
  <c r="G87" i="139"/>
  <c r="I74" i="139"/>
  <c r="I65" i="139"/>
  <c r="F88" i="139"/>
  <c r="H87" i="139"/>
  <c r="I88" i="139"/>
  <c r="F65" i="139"/>
  <c r="F87" i="139"/>
  <c r="H74" i="139"/>
  <c r="I75" i="139"/>
  <c r="F74" i="139"/>
  <c r="I76" i="139"/>
  <c r="I77" i="139"/>
  <c r="F72" i="139"/>
  <c r="I73" i="139"/>
  <c r="H72" i="139"/>
  <c r="F73" i="139"/>
  <c r="I72" i="139"/>
  <c r="H73" i="139"/>
  <c r="H75" i="139"/>
  <c r="G77" i="139"/>
  <c r="G76" i="139"/>
  <c r="G75" i="139"/>
  <c r="F77" i="139"/>
  <c r="F76" i="139"/>
  <c r="F75" i="139"/>
  <c r="H77" i="139"/>
  <c r="H76" i="139"/>
  <c r="I22" i="139"/>
  <c r="I21" i="139"/>
  <c r="I46" i="139"/>
  <c r="G46" i="139"/>
  <c r="F46" i="139"/>
  <c r="E22" i="139"/>
  <c r="H22" i="139"/>
  <c r="H21" i="139"/>
  <c r="F28" i="139" s="1"/>
  <c r="G22" i="139"/>
  <c r="G21" i="139"/>
  <c r="E28" i="139" s="1"/>
  <c r="F22" i="139"/>
  <c r="F21" i="139"/>
  <c r="D28" i="139" s="1"/>
  <c r="E21" i="139"/>
  <c r="C28" i="139" s="1"/>
  <c r="R99" i="139"/>
  <c r="P99" i="139"/>
  <c r="O99" i="139"/>
  <c r="Q99" i="139"/>
  <c r="K99" i="139"/>
  <c r="N99" i="139"/>
  <c r="M99" i="139"/>
  <c r="L99" i="139"/>
  <c r="S99" i="139"/>
  <c r="K81" i="139"/>
  <c r="H86" i="139"/>
  <c r="H71" i="139"/>
  <c r="G61" i="139"/>
  <c r="G54" i="139"/>
  <c r="F3" i="139"/>
  <c r="G41" i="139"/>
  <c r="G38" i="153" l="1"/>
  <c r="E25" i="153"/>
  <c r="G25" i="153"/>
  <c r="D25" i="153"/>
  <c r="G58" i="153"/>
  <c r="H82" i="153"/>
  <c r="F25" i="153"/>
  <c r="G51" i="153"/>
  <c r="F3" i="153"/>
  <c r="H67" i="153"/>
</calcChain>
</file>

<file path=xl/sharedStrings.xml><?xml version="1.0" encoding="utf-8"?>
<sst xmlns="http://schemas.openxmlformats.org/spreadsheetml/2006/main" count="937" uniqueCount="390">
  <si>
    <t>Moyens de fonctionnement</t>
  </si>
  <si>
    <t>–</t>
  </si>
  <si>
    <t>– –</t>
  </si>
  <si>
    <t>+</t>
  </si>
  <si>
    <t>+ +</t>
  </si>
  <si>
    <t>Parcours des élèves</t>
  </si>
  <si>
    <t>Radar</t>
  </si>
  <si>
    <t>Réussite aux examens</t>
  </si>
  <si>
    <t>VA</t>
  </si>
  <si>
    <t>Taux d'accès plus performant</t>
  </si>
  <si>
    <t>-</t>
  </si>
  <si>
    <t>CPE :</t>
  </si>
  <si>
    <t>Gestionnaire :</t>
  </si>
  <si>
    <t>Effectifs d'élèves</t>
  </si>
  <si>
    <t>Etablissement</t>
  </si>
  <si>
    <t>Public</t>
  </si>
  <si>
    <t>Identification</t>
  </si>
  <si>
    <t xml:space="preserve">Nombre d'heures d'enseignement devant élèves, </t>
  </si>
  <si>
    <t>Ressources humaines</t>
  </si>
  <si>
    <t>Proportion d'enseignants de statut territorial (%)</t>
  </si>
  <si>
    <t>Proportion d'enseignants titulaires (%)</t>
  </si>
  <si>
    <t>Ancienneté moyenne des enseignants (année)</t>
  </si>
  <si>
    <t>Âge moyen des enseignants (année)</t>
  </si>
  <si>
    <t>Tél :</t>
  </si>
  <si>
    <t>Fax :</t>
  </si>
  <si>
    <t>Courriel :</t>
  </si>
  <si>
    <t>Nouméa</t>
  </si>
  <si>
    <t>Quartier :</t>
  </si>
  <si>
    <t>Commune :</t>
  </si>
  <si>
    <t>H/E</t>
  </si>
  <si>
    <t>% d'enseignants titulaires</t>
  </si>
  <si>
    <t>E/D*</t>
  </si>
  <si>
    <t>9830003L</t>
  </si>
  <si>
    <t>Nouville</t>
  </si>
  <si>
    <t>34-35-55</t>
  </si>
  <si>
    <t>27-76-46</t>
  </si>
  <si>
    <t>ce.9830003l@ac-noumea.nc</t>
  </si>
  <si>
    <t>M. Michel LEHOULLIER</t>
  </si>
  <si>
    <t>Proviseur :</t>
  </si>
  <si>
    <t>Proviseurs adjoints :</t>
  </si>
  <si>
    <t>Chefs de travaux</t>
  </si>
  <si>
    <t>Proportion d'élèves en retard à l'entrée en 2nde (%)</t>
  </si>
  <si>
    <t>Nombre d'élèves par division - niveau lycée GT (E/D)</t>
  </si>
  <si>
    <t>Taux de réussite au BTS (%)</t>
  </si>
  <si>
    <t>Taux d'accès de la 2nde au Bac GT (%)</t>
  </si>
  <si>
    <t>Taux d'accès de la 1ère au Bac GT (%)</t>
  </si>
  <si>
    <t>Taux d'accès de la Term. au Bac GT (%)</t>
  </si>
  <si>
    <t>% élèves en retard en 2nde*</t>
  </si>
  <si>
    <t>Taux de passage 2nde GT/1ère G</t>
  </si>
  <si>
    <t>Taux de redoublement 2nde*</t>
  </si>
  <si>
    <t>9830270B</t>
  </si>
  <si>
    <t>9830271C</t>
  </si>
  <si>
    <t>9830006P</t>
  </si>
  <si>
    <t>9830269A</t>
  </si>
  <si>
    <t>9830272D</t>
  </si>
  <si>
    <t>9830273E</t>
  </si>
  <si>
    <t>9830294C</t>
  </si>
  <si>
    <t>9830306R</t>
  </si>
  <si>
    <t>9830377T</t>
  </si>
  <si>
    <t>9830401U</t>
  </si>
  <si>
    <t>9830460H</t>
  </si>
  <si>
    <t>9830483H</t>
  </si>
  <si>
    <t>9830002K</t>
  </si>
  <si>
    <t>9830261S</t>
  </si>
  <si>
    <t>9830504F</t>
  </si>
  <si>
    <t>9830507J</t>
  </si>
  <si>
    <t>9830557N</t>
  </si>
  <si>
    <t>9830635Y</t>
  </si>
  <si>
    <t>9830693L</t>
  </si>
  <si>
    <t>Privé</t>
  </si>
  <si>
    <t>Secteur (PU / PR)</t>
  </si>
  <si>
    <t>Appellation - Sigle</t>
  </si>
  <si>
    <t>Commune</t>
  </si>
  <si>
    <t xml:space="preserve">LGT           </t>
  </si>
  <si>
    <t xml:space="preserve">LPO           </t>
  </si>
  <si>
    <t xml:space="preserve">LP            </t>
  </si>
  <si>
    <t xml:space="preserve">LGT PR        </t>
  </si>
  <si>
    <t xml:space="preserve">LP PR         </t>
  </si>
  <si>
    <t xml:space="preserve">LPO PR        </t>
  </si>
  <si>
    <t>Poindimié</t>
  </si>
  <si>
    <t>Mont-Dore</t>
  </si>
  <si>
    <t>Païta</t>
  </si>
  <si>
    <t>Bourail</t>
  </si>
  <si>
    <t>Pouébo</t>
  </si>
  <si>
    <t>Lifou</t>
  </si>
  <si>
    <t>Touho</t>
  </si>
  <si>
    <t>Dumbéa</t>
  </si>
  <si>
    <t>Pouembout</t>
  </si>
  <si>
    <t>RNE + dénomination</t>
  </si>
  <si>
    <t>pcs_def_etab</t>
  </si>
  <si>
    <t>pcs_def_sec</t>
  </si>
  <si>
    <t>pcs_def_aca</t>
  </si>
  <si>
    <t>pcs_tfav_etab</t>
  </si>
  <si>
    <t>pcs_tfav_sec</t>
  </si>
  <si>
    <t>pcs_tfav_aca</t>
  </si>
  <si>
    <t>ips_etab</t>
  </si>
  <si>
    <t>ips_sec</t>
  </si>
  <si>
    <t>ips_aca</t>
  </si>
  <si>
    <t>retard_etab</t>
  </si>
  <si>
    <t>retard_sec</t>
  </si>
  <si>
    <t>retard_aca</t>
  </si>
  <si>
    <t>h/e_etab</t>
  </si>
  <si>
    <t>h/e_sec</t>
  </si>
  <si>
    <t>h/e_aca</t>
  </si>
  <si>
    <t>e/d_etab</t>
  </si>
  <si>
    <t>e/d_sec</t>
  </si>
  <si>
    <t>e/d_aca</t>
  </si>
  <si>
    <t>ens_terr_etab</t>
  </si>
  <si>
    <t>ens_terr_sec</t>
  </si>
  <si>
    <t>ens_terr_aca</t>
  </si>
  <si>
    <t>ens_tit_etab</t>
  </si>
  <si>
    <t>ens_tit_sec</t>
  </si>
  <si>
    <t>ens_tit_aca</t>
  </si>
  <si>
    <t>anc_etab</t>
  </si>
  <si>
    <t>anc_sec</t>
  </si>
  <si>
    <t>anc_aca</t>
  </si>
  <si>
    <t>age_etab</t>
  </si>
  <si>
    <t>age_sec</t>
  </si>
  <si>
    <t>age_aca</t>
  </si>
  <si>
    <t>9830002K : Lycée La Pérouse</t>
  </si>
  <si>
    <t>9830003L : Lycée polyvalent Jules Garnier</t>
  </si>
  <si>
    <t>9830006P : Lycee professionnel, commercial et hôtelier Auguste Escoffier</t>
  </si>
  <si>
    <t>9830261S : Lycée privé Blaise Pascal (DDEC)</t>
  </si>
  <si>
    <t>9830269A : Lycée professionnel privé Saint Joseph de Cluny (DDEC)</t>
  </si>
  <si>
    <t>9830270B : Lycée professionnel privé Saint Jean 23 (DDEC)</t>
  </si>
  <si>
    <t>9830271C : Lycée professionnel privé Marcellin Champagnat (DDEC)</t>
  </si>
  <si>
    <t>9830272D : Lycée professionnel privé François d'Assise  (DDEC)</t>
  </si>
  <si>
    <t>9830273E : Lycée professionnel privé Gabriel Rivat (DDEC)</t>
  </si>
  <si>
    <t>9830294C : Lycée professionnel privé Père Guéneau (DDEC)</t>
  </si>
  <si>
    <t>9830306R : lycee professionnel Petro Attiti</t>
  </si>
  <si>
    <t>9830377T : Lycee polyvalent privé Do Kamo (ASEE)</t>
  </si>
  <si>
    <t>9830401U : Lycée professionnel privé Saint Pierre Chanel (DDEC)</t>
  </si>
  <si>
    <t>9830460H : Lycée professionnel Augustin Ty</t>
  </si>
  <si>
    <t>9830483H : Lycée polyvalent Williama Haudra</t>
  </si>
  <si>
    <t>9830504F : Lycée privé Apollinaire Anova (DDEC)</t>
  </si>
  <si>
    <t xml:space="preserve">9830507J : Lycée Antoine Kela                  </t>
  </si>
  <si>
    <t>9830557N : Lycée du Grand Nouméa</t>
  </si>
  <si>
    <t>9830693L : Lycée polyvalent du Mont-Dore</t>
  </si>
  <si>
    <t>9830635Y : Lycée agricole et général Michel Rocard</t>
  </si>
  <si>
    <t>eff_niv_lyc_2012</t>
  </si>
  <si>
    <t>eff_postbac_2012</t>
  </si>
  <si>
    <t>red2nde_etab</t>
  </si>
  <si>
    <t>red2nde_sec</t>
  </si>
  <si>
    <t>red2nde_aca</t>
  </si>
  <si>
    <t>acc2nde-bac_etab</t>
  </si>
  <si>
    <t>acc1è-bac_etab</t>
  </si>
  <si>
    <t>accTle-bac_etab</t>
  </si>
  <si>
    <t>VA_bacGT_etab</t>
  </si>
  <si>
    <t>Rne</t>
  </si>
  <si>
    <t>Proportion d'élèves en retard à l'entrée en 2nde PRO (%)</t>
  </si>
  <si>
    <t>par élève - niveau lycée PRO (H/E)</t>
  </si>
  <si>
    <t>acc2nde-bac_VA</t>
  </si>
  <si>
    <t>acc1è-bac_VA</t>
  </si>
  <si>
    <t>accTle-bac_VA</t>
  </si>
  <si>
    <t>réussite_bacGT_etab</t>
  </si>
  <si>
    <t>VA_bacPRO_etab</t>
  </si>
  <si>
    <t>réussite_bacPRO_etab</t>
  </si>
  <si>
    <t>pas_2nde-1èPRO_etab</t>
  </si>
  <si>
    <t>pas_2nde-1èPRO_sec</t>
  </si>
  <si>
    <t>pas_2nde-1èPRO_aca</t>
  </si>
  <si>
    <t>pas_2nde-voie_pro_etab</t>
  </si>
  <si>
    <t>pas_2nde-voie_pro_sec</t>
  </si>
  <si>
    <t>pas_2nde-voie_pro_aca</t>
  </si>
  <si>
    <t>Taux de réussite au bac GT (%)</t>
  </si>
  <si>
    <t>Réussite_BTS_etab</t>
  </si>
  <si>
    <t>Réussite_BTS_sec</t>
  </si>
  <si>
    <t>Réussite_BTS_aca</t>
  </si>
  <si>
    <t>Taux de réussite au bac GT</t>
  </si>
  <si>
    <t>réussite_bacGT_sec</t>
  </si>
  <si>
    <t>réussite_bacGT_aca</t>
  </si>
  <si>
    <t>réussite_bacPRO_sec</t>
  </si>
  <si>
    <t>réussite_bacPRO_aca</t>
  </si>
  <si>
    <t>Taux de passage 2de PRO/1ère PRO (%)</t>
  </si>
  <si>
    <t>Taux d'accès de la 2nde au Bac PRO (%)</t>
  </si>
  <si>
    <t>Taux d'accès de la 1ère au Bac PRO (%)</t>
  </si>
  <si>
    <t>Taux d'accès de la Term. au Bac PRO (%)</t>
  </si>
  <si>
    <t>Taux de redoublement 2nde PRO (%)</t>
  </si>
  <si>
    <t>Taux de redoublement 2nde GT (%)</t>
  </si>
  <si>
    <t>Taux de réussite au bac PRO (%)</t>
  </si>
  <si>
    <t>% élèves en retard en 2nde PRO*</t>
  </si>
  <si>
    <t>Taux de passage 2nde /1ère PRO</t>
  </si>
  <si>
    <t>Taux de redoublement 2nde PRO*</t>
  </si>
  <si>
    <t>Taux de réussite au bac PRO</t>
  </si>
  <si>
    <t>* Inversé</t>
  </si>
  <si>
    <t>Public + privé</t>
  </si>
  <si>
    <t>&lt;= Sélectionner l'établissement dans la liste déroulante (cliquer sur la flèche indiquant vers le bas)</t>
  </si>
  <si>
    <t>Taux de passage 2nde GT/1ère GT (%)</t>
  </si>
  <si>
    <t>Taux de passage 2nde GT/voie PRO (%)</t>
  </si>
  <si>
    <t>pas_2nde-1èGT_etab</t>
  </si>
  <si>
    <t>pas_2nde-1èGT_sec</t>
  </si>
  <si>
    <t>pas_2nde-1èGT_aca</t>
  </si>
  <si>
    <t>pas_2nde-CAP_etab</t>
  </si>
  <si>
    <t>pas_2nde-CAP_sec</t>
  </si>
  <si>
    <t>pas_2nde-CAP_aca</t>
  </si>
  <si>
    <t>Indice de position sociale</t>
  </si>
  <si>
    <t>Contexte scolaire</t>
  </si>
  <si>
    <t>Indice d'éloignement</t>
  </si>
  <si>
    <t>ie_etab</t>
  </si>
  <si>
    <t>ie_sec</t>
  </si>
  <si>
    <t>ie_aca</t>
  </si>
  <si>
    <t>Indice d'éloignement*</t>
  </si>
  <si>
    <t>Indice d'éloignement du collège le plus proche</t>
  </si>
  <si>
    <t>9830635Y : Lycée polyvalent Michel Rocard</t>
  </si>
  <si>
    <t>Proportion d'élèves issus de PCS défavorisées (%)</t>
  </si>
  <si>
    <t>Proportion d'élèves issus de PCS très favorisées (%)</t>
  </si>
  <si>
    <t>Indice de position sociale niveau lycée GT</t>
  </si>
  <si>
    <t>Indice de position sociale niveau lycée PRO</t>
  </si>
  <si>
    <t>boursier_etab</t>
  </si>
  <si>
    <t>boursier_sec</t>
  </si>
  <si>
    <t>boursier_aca</t>
  </si>
  <si>
    <t>Taux de passage 2de PRO/CAP (%)</t>
  </si>
  <si>
    <t>maitrise_fr_etab</t>
  </si>
  <si>
    <t>maitrise_fr_sec</t>
  </si>
  <si>
    <t>maitrise_fr_aca</t>
  </si>
  <si>
    <t>maitrise_maths_etab</t>
  </si>
  <si>
    <t>maitrise_maths_sec</t>
  </si>
  <si>
    <t>maitrise_maths_aca</t>
  </si>
  <si>
    <t>Nombre d'élèves par division - niveau lycée PRO hors CAP (E/D)</t>
  </si>
  <si>
    <t>9830557N : Lycée Dick Ukeiwë</t>
  </si>
  <si>
    <t>Proportion d'élèves entrant en 2nde GT ayant un bas niveau en français (%)</t>
  </si>
  <si>
    <t>Proportion d'élèves entrant en 2nde GT ayant un bas niveau en mathématiques (%)</t>
  </si>
  <si>
    <t>Proportion d'élèves entrant en 2nde PRO ayant un bas niveau en français (%)</t>
  </si>
  <si>
    <t>Proportion d'élèves entrant en 2nde PRO ayant un bas niveau en mathématiques (%)</t>
  </si>
  <si>
    <t>nd</t>
  </si>
  <si>
    <t>eff_niv_lyc_n</t>
  </si>
  <si>
    <t>eff_postbac_n</t>
  </si>
  <si>
    <t>eff_niv_lyc_n-1</t>
  </si>
  <si>
    <t>eff_postbac_n-1</t>
  </si>
  <si>
    <t>eff_niv_lyc_n-2</t>
  </si>
  <si>
    <t>eff_postbac_n-2</t>
  </si>
  <si>
    <t>Qi Employés</t>
  </si>
  <si>
    <t>Taux de passage 2nde PRO /1ère PRO</t>
  </si>
  <si>
    <t>Lycée GT</t>
  </si>
  <si>
    <t>Post-bac</t>
  </si>
  <si>
    <t>De niveau lycée GT</t>
  </si>
  <si>
    <t>De niveau post-bac</t>
  </si>
  <si>
    <t>etab_patronyme</t>
  </si>
  <si>
    <t>Code UAI</t>
  </si>
  <si>
    <t>Collège</t>
  </si>
  <si>
    <t>Segpa</t>
  </si>
  <si>
    <t>Voie pro</t>
  </si>
  <si>
    <t>Voie GT</t>
  </si>
  <si>
    <t>Autres</t>
  </si>
  <si>
    <t>De niveau lycée PRO</t>
  </si>
  <si>
    <t>eff_postbac_Extract</t>
  </si>
  <si>
    <t>eff_niv_lyc_GT_Extract</t>
  </si>
  <si>
    <t>Lycée PRO</t>
  </si>
  <si>
    <t>eff_VoiePRO_Extract</t>
  </si>
  <si>
    <t>CONSTAT DE RENTRÉE</t>
  </si>
  <si>
    <t>Extraction au</t>
  </si>
  <si>
    <r>
      <t xml:space="preserve">Taux d'accès moins performant </t>
    </r>
    <r>
      <rPr>
        <b/>
        <sz val="8"/>
        <rFont val="Marianne"/>
      </rPr>
      <t>(classement des établissements publics et privés)</t>
    </r>
  </si>
  <si>
    <t>Année 2026</t>
  </si>
  <si>
    <t>Années 2025-2026</t>
  </si>
  <si>
    <t>Session 2025</t>
  </si>
  <si>
    <t>par élève - niveau lycée GT (H/E) - y compris pondération</t>
  </si>
  <si>
    <t>acc2nde-bac_sect</t>
  </si>
  <si>
    <t>acc1è-bac_sect</t>
  </si>
  <si>
    <t>accTle-bac_sect</t>
  </si>
  <si>
    <t>acc2nde-bac_aca</t>
  </si>
  <si>
    <t>acc1è-bac_aca</t>
  </si>
  <si>
    <t>accTle-bac_aca</t>
  </si>
  <si>
    <t>red2ndPRO_etab</t>
  </si>
  <si>
    <t>red2ndPRO_sec</t>
  </si>
  <si>
    <t>red2ndPRO_aca</t>
  </si>
  <si>
    <t>ANTOINE KELA</t>
  </si>
  <si>
    <t>APOGOTI</t>
  </si>
  <si>
    <t>9830698S</t>
  </si>
  <si>
    <t>APOLLINAIRE ANOVA (DDEC)</t>
  </si>
  <si>
    <t>AUGUSTIN TY</t>
  </si>
  <si>
    <t>BLAISE PASCAL (DDEC)</t>
  </si>
  <si>
    <t>BOAOUVA KALEBA</t>
  </si>
  <si>
    <t>9830518W</t>
  </si>
  <si>
    <t>CHAMPAGNAT (DDEC)</t>
  </si>
  <si>
    <t>9830259P</t>
  </si>
  <si>
    <t>COMMERCIAL ET HOTELIER</t>
  </si>
  <si>
    <t>DE BAGANDA</t>
  </si>
  <si>
    <t>9830431B</t>
  </si>
  <si>
    <t>DE BOULARI</t>
  </si>
  <si>
    <t>9830384A</t>
  </si>
  <si>
    <t>DE CANALA</t>
  </si>
  <si>
    <t>9830419N</t>
  </si>
  <si>
    <t>DE HAVILA</t>
  </si>
  <si>
    <t>9830295D</t>
  </si>
  <si>
    <t>DE HNATHALO  (DDEC)</t>
  </si>
  <si>
    <t>9830400T</t>
  </si>
  <si>
    <t>DE KAMERE</t>
  </si>
  <si>
    <t>9830524C</t>
  </si>
  <si>
    <t>DE KONE</t>
  </si>
  <si>
    <t>9830278K</t>
  </si>
  <si>
    <t>DE KOUMAC</t>
  </si>
  <si>
    <t>9830007R</t>
  </si>
  <si>
    <t>DE LA CONCEPTION (DDEC)</t>
  </si>
  <si>
    <t>9830263U</t>
  </si>
  <si>
    <t>DE LA ROCHE</t>
  </si>
  <si>
    <t>9830482G</t>
  </si>
  <si>
    <t>DE MOU (FELP)</t>
  </si>
  <si>
    <t>9830472W</t>
  </si>
  <si>
    <t>DE NORMANDIE</t>
  </si>
  <si>
    <t>9830538T</t>
  </si>
  <si>
    <t>DE OUEGOA</t>
  </si>
  <si>
    <t>9830632V</t>
  </si>
  <si>
    <t>DE PAIAMBOUE</t>
  </si>
  <si>
    <t>9830691J</t>
  </si>
  <si>
    <t>DE PLUM</t>
  </si>
  <si>
    <t>9830624L</t>
  </si>
  <si>
    <t>DE TADINE</t>
  </si>
  <si>
    <t>9830414H</t>
  </si>
  <si>
    <t>DE TAREMEN</t>
  </si>
  <si>
    <t>9830392J</t>
  </si>
  <si>
    <t>DE TIETA  (FELP)</t>
  </si>
  <si>
    <t>9830432C</t>
  </si>
  <si>
    <t>DE VAO (DDEC)</t>
  </si>
  <si>
    <t>9830354T</t>
  </si>
  <si>
    <t>DE WANI</t>
  </si>
  <si>
    <t>9830418M</t>
  </si>
  <si>
    <t>DE YATE</t>
  </si>
  <si>
    <t>9830477B</t>
  </si>
  <si>
    <t>DICK UKEIWE</t>
  </si>
  <si>
    <t>DO KAMO</t>
  </si>
  <si>
    <t>DU MONT-DORE</t>
  </si>
  <si>
    <t>DUMBEA SUR MER 1</t>
  </si>
  <si>
    <t>9830681Y</t>
  </si>
  <si>
    <t>EBEN EZA</t>
  </si>
  <si>
    <t>9830447U</t>
  </si>
  <si>
    <t>EDMEE VARIN</t>
  </si>
  <si>
    <t>9830640D</t>
  </si>
  <si>
    <t>ESSAU VOUDJO</t>
  </si>
  <si>
    <t>9830493U</t>
  </si>
  <si>
    <t>FRANCIS CARCO</t>
  </si>
  <si>
    <t>9830474Y</t>
  </si>
  <si>
    <t>FRANCOIS D ASSISE  (DDEC)</t>
  </si>
  <si>
    <t>FRANCOIS OLLIVAUD</t>
  </si>
  <si>
    <t>9830625M</t>
  </si>
  <si>
    <t>GABRIEL PAITA</t>
  </si>
  <si>
    <t>9830656W</t>
  </si>
  <si>
    <t>GABRIEL RIVAT (DDEC)</t>
  </si>
  <si>
    <t>GEORGES BAUDOUX</t>
  </si>
  <si>
    <t>9830004M</t>
  </si>
  <si>
    <t>GUILLAUME DOUARRE (DDEC)</t>
  </si>
  <si>
    <t>9830266X</t>
  </si>
  <si>
    <t>HNAIZIANU</t>
  </si>
  <si>
    <t>9830420P</t>
  </si>
  <si>
    <t>HYPPOLYTE BONOU (DDEC)</t>
  </si>
  <si>
    <t>9830297F</t>
  </si>
  <si>
    <t>JEAN FAYARD</t>
  </si>
  <si>
    <t>9830626N</t>
  </si>
  <si>
    <t>JEAN LEQUES</t>
  </si>
  <si>
    <t>9830356V</t>
  </si>
  <si>
    <t>JEAN MARIOTTI</t>
  </si>
  <si>
    <t>9830277J</t>
  </si>
  <si>
    <t>JEAN-BAPTISTE VIGOUROUX (DDEC)</t>
  </si>
  <si>
    <t>9830382Y</t>
  </si>
  <si>
    <t>JULES GARNIER</t>
  </si>
  <si>
    <t>LA COLLINE (DE THIO)</t>
  </si>
  <si>
    <t>9830355U</t>
  </si>
  <si>
    <t>LA PEROUSE</t>
  </si>
  <si>
    <t>LAURA BOULA (WE)</t>
  </si>
  <si>
    <t>9830357W</t>
  </si>
  <si>
    <t>LOUIS LEOPOLD DJIET</t>
  </si>
  <si>
    <t>9830010U</t>
  </si>
  <si>
    <t>LOUISE MICHEL</t>
  </si>
  <si>
    <t>9830616C</t>
  </si>
  <si>
    <t>MARCELLIN CHAMPAGNAT (DDEC)</t>
  </si>
  <si>
    <t>MICHEL ROCARD</t>
  </si>
  <si>
    <t>PAI-KAILEONE</t>
  </si>
  <si>
    <t>9830522A</t>
  </si>
  <si>
    <t>PERE GUENEAU (DDEC)</t>
  </si>
  <si>
    <t>PETRO ATTITI</t>
  </si>
  <si>
    <t>RAYMOND VAUTHIER</t>
  </si>
  <si>
    <t>9830008S</t>
  </si>
  <si>
    <t>SACRE-COEUR (DDEC)</t>
  </si>
  <si>
    <t>9830265W</t>
  </si>
  <si>
    <t>SAINT JEAN XXIII (DDEC)</t>
  </si>
  <si>
    <t>SAINTE MARIE  (DDEC)</t>
  </si>
  <si>
    <t>9830264V</t>
  </si>
  <si>
    <t>SHEA TIAOU</t>
  </si>
  <si>
    <t>9830639C</t>
  </si>
  <si>
    <t>ST DOMINIQUE SAVIO (DDEC)</t>
  </si>
  <si>
    <t>9830381X</t>
  </si>
  <si>
    <t>ST JOSEPH DE CLUNY (DDEC)</t>
  </si>
  <si>
    <t>9830260R</t>
  </si>
  <si>
    <t>ST PIERRE CHANEL (DDEC)</t>
  </si>
  <si>
    <t>THÉODORE KAWA BRAÏNO</t>
  </si>
  <si>
    <t>9830009T</t>
  </si>
  <si>
    <t>TUBAND</t>
  </si>
  <si>
    <t>9830649N</t>
  </si>
  <si>
    <t>WILLIAMA HAUDRA</t>
  </si>
  <si>
    <t>18/08/2026</t>
  </si>
  <si>
    <t>Taux de boursiers niveau lycée GT (année 2025)</t>
  </si>
  <si>
    <t>Taux de boursiers niveau lycée PRO (année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</si>
</sst>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#,##0.0"/>
  </numFmts>
  <fonts count="56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 Unicode MS"/>
      <family val="2"/>
    </font>
    <font>
      <u/>
      <sz val="10"/>
      <color theme="10"/>
      <name val="MS Sans Serif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2"/>
      <name val="Marianne"/>
    </font>
    <font>
      <b/>
      <sz val="12"/>
      <color theme="9" tint="-0.249977111117893"/>
      <name val="Marianne"/>
    </font>
    <font>
      <sz val="9"/>
      <name val="Marianne"/>
    </font>
    <font>
      <b/>
      <sz val="9"/>
      <name val="Marianne"/>
    </font>
    <font>
      <sz val="10"/>
      <name val="Marianne"/>
    </font>
    <font>
      <b/>
      <sz val="10"/>
      <color rgb="FFFF0000"/>
      <name val="Marianne"/>
    </font>
    <font>
      <sz val="10"/>
      <color rgb="FFFF0000"/>
      <name val="Marianne"/>
    </font>
    <font>
      <sz val="10"/>
      <color theme="0"/>
      <name val="Marianne"/>
    </font>
    <font>
      <sz val="11"/>
      <name val="Marianne"/>
    </font>
    <font>
      <u/>
      <sz val="10"/>
      <color theme="10"/>
      <name val="Marianne"/>
    </font>
    <font>
      <b/>
      <sz val="10"/>
      <name val="Marianne"/>
    </font>
    <font>
      <sz val="8"/>
      <name val="Marianne"/>
    </font>
    <font>
      <b/>
      <sz val="8"/>
      <name val="Marianne"/>
    </font>
    <font>
      <sz val="14"/>
      <name val="Marianne"/>
    </font>
    <font>
      <b/>
      <sz val="10"/>
      <color theme="0"/>
      <name val="Marianne"/>
    </font>
    <font>
      <i/>
      <sz val="8"/>
      <name val="Marianne"/>
    </font>
    <font>
      <sz val="10"/>
      <color rgb="FF0000FF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0" fontId="11" fillId="3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2" borderId="1" applyNumberFormat="0" applyAlignment="0" applyProtection="0"/>
    <xf numFmtId="0" fontId="15" fillId="0" borderId="2" applyNumberFormat="0" applyFill="0" applyAlignment="0" applyProtection="0"/>
    <xf numFmtId="0" fontId="9" fillId="6" borderId="3" applyNumberFormat="0" applyFont="0" applyAlignment="0" applyProtection="0"/>
    <xf numFmtId="0" fontId="16" fillId="8" borderId="1" applyNumberFormat="0" applyAlignment="0" applyProtection="0"/>
    <xf numFmtId="0" fontId="17" fillId="5" borderId="0" applyNumberFormat="0" applyBorder="0" applyAlignment="0" applyProtection="0"/>
    <xf numFmtId="0" fontId="18" fillId="11" borderId="0" applyNumberFormat="0" applyBorder="0" applyAlignment="0" applyProtection="0"/>
    <xf numFmtId="0" fontId="10" fillId="0" borderId="0"/>
    <xf numFmtId="0" fontId="19" fillId="7" borderId="0" applyNumberFormat="0" applyBorder="0" applyAlignment="0" applyProtection="0"/>
    <xf numFmtId="0" fontId="20" fillId="22" borderId="4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7" fillId="23" borderId="9" applyNumberFormat="0" applyAlignment="0" applyProtection="0"/>
    <xf numFmtId="44" fontId="9" fillId="0" borderId="0" applyFont="0" applyFill="0" applyBorder="0" applyAlignment="0" applyProtection="0"/>
    <xf numFmtId="0" fontId="9" fillId="0" borderId="0"/>
    <xf numFmtId="0" fontId="8" fillId="0" borderId="0"/>
    <xf numFmtId="0" fontId="28" fillId="0" borderId="0"/>
    <xf numFmtId="9" fontId="10" fillId="0" borderId="0" applyFont="0" applyFill="0" applyBorder="0" applyAlignment="0" applyProtection="0"/>
    <xf numFmtId="0" fontId="9" fillId="0" borderId="0"/>
    <xf numFmtId="0" fontId="29" fillId="0" borderId="0"/>
    <xf numFmtId="164" fontId="9" fillId="0" borderId="0" applyFont="0" applyFill="0" applyBorder="0" applyAlignment="0" applyProtection="0"/>
    <xf numFmtId="0" fontId="7" fillId="0" borderId="0"/>
    <xf numFmtId="0" fontId="30" fillId="0" borderId="0"/>
    <xf numFmtId="0" fontId="31" fillId="0" borderId="0"/>
    <xf numFmtId="0" fontId="10" fillId="0" borderId="0"/>
    <xf numFmtId="0" fontId="6" fillId="0" borderId="0"/>
    <xf numFmtId="0" fontId="32" fillId="0" borderId="0"/>
    <xf numFmtId="0" fontId="10" fillId="0" borderId="0"/>
    <xf numFmtId="0" fontId="10" fillId="0" borderId="0"/>
    <xf numFmtId="9" fontId="9" fillId="0" borderId="0" applyFont="0" applyFill="0" applyBorder="0" applyAlignment="0" applyProtection="0"/>
    <xf numFmtId="0" fontId="33" fillId="0" borderId="0"/>
    <xf numFmtId="0" fontId="5" fillId="0" borderId="0"/>
    <xf numFmtId="0" fontId="34" fillId="0" borderId="0"/>
    <xf numFmtId="0" fontId="35" fillId="0" borderId="0"/>
    <xf numFmtId="0" fontId="4" fillId="0" borderId="0"/>
    <xf numFmtId="0" fontId="36" fillId="0" borderId="0" applyNumberFormat="0" applyFill="0" applyBorder="0" applyAlignment="0" applyProtection="0"/>
    <xf numFmtId="0" fontId="3" fillId="0" borderId="0"/>
    <xf numFmtId="0" fontId="10" fillId="0" borderId="0"/>
    <xf numFmtId="0" fontId="3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horizontal="right"/>
    </xf>
    <xf numFmtId="0" fontId="10" fillId="24" borderId="0" xfId="0" applyFont="1" applyFill="1"/>
    <xf numFmtId="0" fontId="10" fillId="0" borderId="0" xfId="0" applyFont="1" applyFill="1" applyAlignment="1">
      <alignment wrapText="1"/>
    </xf>
    <xf numFmtId="0" fontId="10" fillId="24" borderId="0" xfId="0" applyFont="1" applyFill="1" applyAlignment="1">
      <alignment wrapText="1"/>
    </xf>
    <xf numFmtId="0" fontId="10" fillId="0" borderId="0" xfId="0" applyFont="1" applyFill="1" applyAlignment="1">
      <alignment horizontal="right"/>
    </xf>
    <xf numFmtId="0" fontId="10" fillId="0" borderId="0" xfId="0" quotePrefix="1" applyFont="1" applyFill="1" applyAlignment="1">
      <alignment horizontal="right"/>
    </xf>
    <xf numFmtId="0" fontId="0" fillId="0" borderId="0" xfId="0" applyFill="1" applyAlignment="1">
      <alignment horizontal="right"/>
    </xf>
    <xf numFmtId="0" fontId="10" fillId="24" borderId="0" xfId="0" quotePrefix="1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0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 wrapText="1"/>
    </xf>
    <xf numFmtId="165" fontId="10" fillId="0" borderId="0" xfId="0" applyNumberFormat="1" applyFont="1" applyFill="1" applyAlignment="1">
      <alignment horizontal="center"/>
    </xf>
    <xf numFmtId="0" fontId="37" fillId="0" borderId="0" xfId="0" applyFont="1" applyFill="1" applyAlignment="1">
      <alignment horizontal="right"/>
    </xf>
    <xf numFmtId="0" fontId="37" fillId="0" borderId="0" xfId="0" applyFont="1" applyFill="1"/>
    <xf numFmtId="165" fontId="10" fillId="0" borderId="0" xfId="0" applyNumberFormat="1" applyFont="1" applyFill="1" applyAlignment="1">
      <alignment horizontal="right"/>
    </xf>
    <xf numFmtId="165" fontId="10" fillId="24" borderId="0" xfId="0" applyNumberFormat="1" applyFont="1" applyFill="1" applyAlignment="1">
      <alignment horizontal="right"/>
    </xf>
    <xf numFmtId="0" fontId="10" fillId="24" borderId="0" xfId="0" applyFont="1" applyFill="1" applyAlignment="1">
      <alignment horizontal="right"/>
    </xf>
    <xf numFmtId="0" fontId="10" fillId="30" borderId="0" xfId="0" applyFont="1" applyFill="1"/>
    <xf numFmtId="0" fontId="0" fillId="0" borderId="0" xfId="0" applyFont="1" applyFill="1" applyAlignment="1">
      <alignment horizontal="center" wrapText="1"/>
    </xf>
    <xf numFmtId="165" fontId="10" fillId="0" borderId="0" xfId="0" quotePrefix="1" applyNumberFormat="1" applyFont="1" applyFill="1" applyAlignment="1">
      <alignment horizontal="center"/>
    </xf>
    <xf numFmtId="0" fontId="38" fillId="0" borderId="0" xfId="0" applyFont="1" applyFill="1"/>
    <xf numFmtId="0" fontId="38" fillId="0" borderId="0" xfId="0" quotePrefix="1" applyFont="1" applyFill="1" applyAlignment="1">
      <alignment horizontal="right"/>
    </xf>
    <xf numFmtId="0" fontId="38" fillId="24" borderId="0" xfId="0" applyFont="1" applyFill="1"/>
    <xf numFmtId="0" fontId="38" fillId="24" borderId="0" xfId="0" quotePrefix="1" applyFont="1" applyFill="1" applyAlignment="1">
      <alignment horizontal="right"/>
    </xf>
    <xf numFmtId="3" fontId="43" fillId="0" borderId="15" xfId="0" applyNumberFormat="1" applyFont="1" applyFill="1" applyBorder="1" applyAlignment="1">
      <alignment horizontal="center"/>
    </xf>
    <xf numFmtId="165" fontId="43" fillId="0" borderId="0" xfId="0" applyNumberFormat="1" applyFont="1" applyAlignment="1">
      <alignment horizontal="center"/>
    </xf>
    <xf numFmtId="165" fontId="53" fillId="0" borderId="0" xfId="0" applyNumberFormat="1" applyFont="1" applyAlignment="1">
      <alignment horizontal="center"/>
    </xf>
    <xf numFmtId="165" fontId="46" fillId="0" borderId="0" xfId="0" applyNumberFormat="1" applyFont="1" applyAlignment="1">
      <alignment horizontal="center"/>
    </xf>
    <xf numFmtId="0" fontId="52" fillId="25" borderId="0" xfId="0" quotePrefix="1" applyFont="1" applyFill="1" applyAlignment="1">
      <alignment horizontal="center" vertical="center"/>
    </xf>
    <xf numFmtId="0" fontId="49" fillId="0" borderId="0" xfId="0" applyFont="1" applyAlignment="1">
      <alignment horizontal="right" vertical="center"/>
    </xf>
    <xf numFmtId="0" fontId="43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50" fillId="0" borderId="0" xfId="0" applyFont="1"/>
    <xf numFmtId="165" fontId="43" fillId="0" borderId="12" xfId="0" applyNumberFormat="1" applyFont="1" applyFill="1" applyBorder="1" applyAlignment="1">
      <alignment horizontal="center"/>
    </xf>
    <xf numFmtId="0" fontId="49" fillId="0" borderId="12" xfId="0" applyFont="1" applyBorder="1" applyAlignment="1">
      <alignment horizontal="center"/>
    </xf>
    <xf numFmtId="0" fontId="40" fillId="0" borderId="0" xfId="0" applyFont="1" applyAlignment="1">
      <alignment horizontal="left" wrapText="1"/>
    </xf>
    <xf numFmtId="3" fontId="46" fillId="0" borderId="0" xfId="0" applyNumberFormat="1" applyFont="1"/>
    <xf numFmtId="0" fontId="43" fillId="0" borderId="0" xfId="0" applyFont="1" applyFill="1"/>
    <xf numFmtId="3" fontId="43" fillId="0" borderId="14" xfId="0" applyNumberFormat="1" applyFont="1" applyFill="1" applyBorder="1" applyAlignment="1">
      <alignment horizontal="center"/>
    </xf>
    <xf numFmtId="0" fontId="43" fillId="0" borderId="0" xfId="0" applyFont="1" applyAlignment="1">
      <alignment horizontal="right"/>
    </xf>
    <xf numFmtId="0" fontId="46" fillId="0" borderId="0" xfId="0" applyFont="1"/>
    <xf numFmtId="0" fontId="43" fillId="24" borderId="0" xfId="0" applyFont="1" applyFill="1"/>
    <xf numFmtId="0" fontId="45" fillId="24" borderId="0" xfId="0" applyFont="1" applyFill="1"/>
    <xf numFmtId="0" fontId="44" fillId="24" borderId="0" xfId="0" applyFont="1" applyFill="1"/>
    <xf numFmtId="0" fontId="43" fillId="0" borderId="0" xfId="0" applyFont="1"/>
    <xf numFmtId="0" fontId="40" fillId="0" borderId="0" xfId="0" applyFont="1" applyAlignment="1">
      <alignment vertical="center" wrapText="1"/>
    </xf>
    <xf numFmtId="0" fontId="48" fillId="0" borderId="0" xfId="65" applyFont="1"/>
    <xf numFmtId="0" fontId="43" fillId="0" borderId="0" xfId="0" applyFont="1" applyAlignment="1">
      <alignment horizontal="left" indent="5"/>
    </xf>
    <xf numFmtId="0" fontId="43" fillId="0" borderId="0" xfId="0" quotePrefix="1" applyFont="1" applyAlignment="1">
      <alignment horizontal="left" indent="5"/>
    </xf>
    <xf numFmtId="3" fontId="43" fillId="0" borderId="19" xfId="0" applyNumberFormat="1" applyFont="1" applyFill="1" applyBorder="1" applyAlignment="1">
      <alignment horizontal="center"/>
    </xf>
    <xf numFmtId="0" fontId="47" fillId="0" borderId="0" xfId="0" applyFont="1"/>
    <xf numFmtId="0" fontId="46" fillId="0" borderId="0" xfId="0" applyFont="1" applyFill="1" applyAlignment="1"/>
    <xf numFmtId="0" fontId="40" fillId="0" borderId="0" xfId="0" applyFont="1" applyAlignment="1">
      <alignment vertical="center"/>
    </xf>
    <xf numFmtId="0" fontId="40" fillId="0" borderId="0" xfId="0" applyFont="1" applyAlignment="1"/>
    <xf numFmtId="0" fontId="41" fillId="0" borderId="0" xfId="0" applyFont="1"/>
    <xf numFmtId="0" fontId="40" fillId="0" borderId="0" xfId="0" applyFont="1" applyAlignment="1">
      <alignment vertical="top"/>
    </xf>
    <xf numFmtId="0" fontId="42" fillId="0" borderId="20" xfId="0" applyFont="1" applyBorder="1" applyAlignment="1">
      <alignment horizontal="center" vertical="center"/>
    </xf>
    <xf numFmtId="0" fontId="54" fillId="0" borderId="0" xfId="0" applyFont="1"/>
    <xf numFmtId="0" fontId="49" fillId="0" borderId="10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9" fillId="0" borderId="0" xfId="0" applyFont="1" applyBorder="1" applyAlignment="1"/>
    <xf numFmtId="0" fontId="49" fillId="0" borderId="11" xfId="0" applyFont="1" applyBorder="1" applyAlignment="1">
      <alignment horizontal="center"/>
    </xf>
    <xf numFmtId="0" fontId="49" fillId="0" borderId="10" xfId="0" applyFont="1" applyBorder="1" applyAlignment="1">
      <alignment horizontal="center" vertical="center"/>
    </xf>
    <xf numFmtId="0" fontId="43" fillId="0" borderId="0" xfId="0" applyFont="1" applyAlignment="1">
      <alignment horizontal="center" wrapText="1"/>
    </xf>
    <xf numFmtId="165" fontId="43" fillId="0" borderId="0" xfId="0" applyNumberFormat="1" applyFont="1" applyFill="1" applyAlignment="1">
      <alignment horizont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horizontal="center" wrapText="1"/>
    </xf>
    <xf numFmtId="165" fontId="43" fillId="0" borderId="0" xfId="0" quotePrefix="1" applyNumberFormat="1" applyFont="1" applyAlignment="1">
      <alignment horizontal="center"/>
    </xf>
    <xf numFmtId="165" fontId="43" fillId="0" borderId="0" xfId="0" applyNumberFormat="1" applyFont="1"/>
    <xf numFmtId="0" fontId="49" fillId="0" borderId="28" xfId="0" applyFont="1" applyBorder="1" applyAlignment="1">
      <alignment horizontal="center" vertical="center"/>
    </xf>
    <xf numFmtId="0" fontId="49" fillId="0" borderId="29" xfId="0" applyFont="1" applyFill="1" applyBorder="1" applyAlignment="1">
      <alignment horizontal="center" vertical="center"/>
    </xf>
    <xf numFmtId="0" fontId="49" fillId="0" borderId="30" xfId="0" applyFont="1" applyFill="1" applyBorder="1" applyAlignment="1">
      <alignment horizontal="center" vertical="center"/>
    </xf>
    <xf numFmtId="0" fontId="49" fillId="0" borderId="31" xfId="0" applyFont="1" applyFill="1" applyBorder="1" applyAlignment="1">
      <alignment horizontal="center" vertical="center"/>
    </xf>
    <xf numFmtId="3" fontId="43" fillId="0" borderId="24" xfId="0" applyNumberFormat="1" applyFont="1" applyFill="1" applyBorder="1" applyAlignment="1">
      <alignment horizontal="center"/>
    </xf>
    <xf numFmtId="3" fontId="43" fillId="0" borderId="25" xfId="0" applyNumberFormat="1" applyFont="1" applyFill="1" applyBorder="1" applyAlignment="1">
      <alignment horizontal="center"/>
    </xf>
    <xf numFmtId="3" fontId="43" fillId="0" borderId="26" xfId="0" applyNumberFormat="1" applyFont="1" applyFill="1" applyBorder="1" applyAlignment="1">
      <alignment horizontal="center"/>
    </xf>
    <xf numFmtId="3" fontId="43" fillId="0" borderId="32" xfId="0" applyNumberFormat="1" applyFont="1" applyFill="1" applyBorder="1" applyAlignment="1">
      <alignment horizontal="center"/>
    </xf>
    <xf numFmtId="3" fontId="43" fillId="0" borderId="27" xfId="0" applyNumberFormat="1" applyFont="1" applyFill="1" applyBorder="1" applyAlignment="1">
      <alignment horizontal="center"/>
    </xf>
    <xf numFmtId="14" fontId="49" fillId="0" borderId="28" xfId="0" applyNumberFormat="1" applyFont="1" applyFill="1" applyBorder="1" applyAlignment="1">
      <alignment horizontal="center" vertical="center"/>
    </xf>
    <xf numFmtId="0" fontId="46" fillId="0" borderId="0" xfId="0" applyFont="1" applyFill="1"/>
    <xf numFmtId="165" fontId="43" fillId="0" borderId="0" xfId="0" applyNumberFormat="1" applyFont="1" applyBorder="1" applyAlignment="1">
      <alignment horizontal="center"/>
    </xf>
    <xf numFmtId="165" fontId="43" fillId="0" borderId="0" xfId="0" applyNumberFormat="1" applyFont="1" applyFill="1" applyBorder="1" applyAlignment="1">
      <alignment horizontal="center"/>
    </xf>
    <xf numFmtId="165" fontId="46" fillId="0" borderId="0" xfId="0" applyNumberFormat="1" applyFont="1" applyFill="1" applyAlignment="1">
      <alignment horizontal="center"/>
    </xf>
    <xf numFmtId="2" fontId="46" fillId="0" borderId="0" xfId="0" applyNumberFormat="1" applyFont="1" applyFill="1" applyAlignment="1">
      <alignment horizontal="center"/>
    </xf>
    <xf numFmtId="166" fontId="46" fillId="0" borderId="0" xfId="0" applyNumberFormat="1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53" fillId="0" borderId="0" xfId="0" applyFont="1" applyFill="1"/>
    <xf numFmtId="0" fontId="46" fillId="0" borderId="0" xfId="0" applyFont="1" applyFill="1" applyAlignment="1">
      <alignment horizontal="center" wrapText="1"/>
    </xf>
    <xf numFmtId="165" fontId="46" fillId="0" borderId="0" xfId="0" applyNumberFormat="1" applyFont="1"/>
    <xf numFmtId="2" fontId="46" fillId="0" borderId="0" xfId="0" applyNumberFormat="1" applyFont="1"/>
    <xf numFmtId="165" fontId="43" fillId="0" borderId="15" xfId="0" applyNumberFormat="1" applyFont="1" applyFill="1" applyBorder="1" applyAlignment="1">
      <alignment horizontal="center"/>
    </xf>
    <xf numFmtId="0" fontId="55" fillId="0" borderId="0" xfId="0" applyFont="1" applyFill="1" applyAlignment="1">
      <alignment horizontal="right"/>
    </xf>
    <xf numFmtId="0" fontId="55" fillId="24" borderId="0" xfId="0" applyFont="1" applyFill="1" applyAlignment="1">
      <alignment horizontal="right"/>
    </xf>
    <xf numFmtId="165" fontId="55" fillId="0" borderId="0" xfId="0" applyNumberFormat="1" applyFont="1" applyFill="1" applyAlignment="1">
      <alignment horizontal="right"/>
    </xf>
    <xf numFmtId="165" fontId="55" fillId="24" borderId="0" xfId="0" applyNumberFormat="1" applyFont="1" applyFill="1" applyAlignment="1">
      <alignment horizontal="right"/>
    </xf>
    <xf numFmtId="2" fontId="55" fillId="0" borderId="0" xfId="0" applyNumberFormat="1" applyFont="1" applyFill="1" applyAlignment="1">
      <alignment horizontal="right"/>
    </xf>
    <xf numFmtId="2" fontId="55" fillId="24" borderId="0" xfId="0" applyNumberFormat="1" applyFont="1" applyFill="1" applyAlignment="1">
      <alignment horizontal="right"/>
    </xf>
    <xf numFmtId="165" fontId="55" fillId="0" borderId="0" xfId="0" applyNumberFormat="1" applyFont="1" applyFill="1" applyAlignment="1">
      <alignment horizontal="center"/>
    </xf>
    <xf numFmtId="0" fontId="55" fillId="0" borderId="0" xfId="0" quotePrefix="1" applyFont="1" applyFill="1" applyAlignment="1">
      <alignment horizontal="right"/>
    </xf>
    <xf numFmtId="0" fontId="55" fillId="24" borderId="0" xfId="0" quotePrefix="1" applyFont="1" applyFill="1" applyAlignment="1">
      <alignment horizontal="right"/>
    </xf>
    <xf numFmtId="0" fontId="55" fillId="0" borderId="0" xfId="0" applyFont="1" applyFill="1"/>
    <xf numFmtId="0" fontId="55" fillId="24" borderId="0" xfId="0" applyFont="1" applyFill="1"/>
    <xf numFmtId="0" fontId="43" fillId="0" borderId="12" xfId="0" quotePrefix="1" applyFont="1" applyFill="1" applyBorder="1" applyAlignment="1">
      <alignment horizontal="center"/>
    </xf>
    <xf numFmtId="165" fontId="43" fillId="29" borderId="12" xfId="0" applyNumberFormat="1" applyFont="1" applyFill="1" applyBorder="1" applyAlignment="1">
      <alignment horizontal="center"/>
    </xf>
    <xf numFmtId="0" fontId="43" fillId="29" borderId="12" xfId="0" quotePrefix="1" applyFont="1" applyFill="1" applyBorder="1" applyAlignment="1">
      <alignment horizontal="center"/>
    </xf>
    <xf numFmtId="165" fontId="43" fillId="0" borderId="15" xfId="0" applyNumberFormat="1" applyFont="1" applyFill="1" applyBorder="1" applyAlignment="1">
      <alignment horizontal="center"/>
    </xf>
    <xf numFmtId="3" fontId="43" fillId="0" borderId="14" xfId="0" applyNumberFormat="1" applyFont="1" applyFill="1" applyBorder="1" applyAlignment="1">
      <alignment horizontal="center"/>
    </xf>
    <xf numFmtId="3" fontId="43" fillId="0" borderId="32" xfId="0" applyNumberFormat="1" applyFont="1" applyFill="1" applyBorder="1" applyAlignment="1">
      <alignment horizontal="center"/>
    </xf>
    <xf numFmtId="0" fontId="55" fillId="0" borderId="0" xfId="0" applyFont="1" applyAlignment="1">
      <alignment horizontal="right"/>
    </xf>
    <xf numFmtId="49" fontId="49" fillId="0" borderId="28" xfId="0" applyNumberFormat="1" applyFont="1" applyBorder="1" applyAlignment="1">
      <alignment horizontal="center" vertical="center"/>
    </xf>
    <xf numFmtId="49" fontId="49" fillId="0" borderId="29" xfId="0" applyNumberFormat="1" applyFont="1" applyFill="1" applyBorder="1" applyAlignment="1">
      <alignment horizontal="center" vertical="center"/>
    </xf>
    <xf numFmtId="49" fontId="49" fillId="0" borderId="30" xfId="0" applyNumberFormat="1" applyFont="1" applyFill="1" applyBorder="1" applyAlignment="1">
      <alignment horizontal="center" vertical="center"/>
    </xf>
    <xf numFmtId="14" fontId="49" fillId="0" borderId="28" xfId="0" quotePrefix="1" applyNumberFormat="1" applyFont="1" applyFill="1" applyBorder="1" applyAlignment="1">
      <alignment horizontal="center" vertical="center"/>
    </xf>
    <xf numFmtId="165" fontId="43" fillId="0" borderId="14" xfId="0" applyNumberFormat="1" applyFont="1" applyFill="1" applyBorder="1" applyAlignment="1">
      <alignment horizontal="center"/>
    </xf>
    <xf numFmtId="165" fontId="43" fillId="0" borderId="15" xfId="0" applyNumberFormat="1" applyFont="1" applyFill="1" applyBorder="1" applyAlignment="1">
      <alignment horizontal="center"/>
    </xf>
    <xf numFmtId="0" fontId="49" fillId="0" borderId="12" xfId="0" applyFont="1" applyFill="1" applyBorder="1" applyAlignment="1">
      <alignment horizontal="center"/>
    </xf>
    <xf numFmtId="2" fontId="43" fillId="0" borderId="10" xfId="0" applyNumberFormat="1" applyFont="1" applyFill="1" applyBorder="1" applyAlignment="1">
      <alignment horizontal="center" vertical="center"/>
    </xf>
    <xf numFmtId="2" fontId="43" fillId="0" borderId="11" xfId="0" applyNumberFormat="1" applyFont="1" applyFill="1" applyBorder="1" applyAlignment="1">
      <alignment horizontal="center" vertical="center"/>
    </xf>
    <xf numFmtId="0" fontId="49" fillId="0" borderId="14" xfId="0" applyFont="1" applyBorder="1" applyAlignment="1">
      <alignment horizontal="center"/>
    </xf>
    <xf numFmtId="0" fontId="49" fillId="0" borderId="15" xfId="0" applyFont="1" applyBorder="1" applyAlignment="1">
      <alignment horizontal="center"/>
    </xf>
    <xf numFmtId="0" fontId="52" fillId="26" borderId="0" xfId="0" quotePrefix="1" applyFont="1" applyFill="1" applyAlignment="1">
      <alignment horizontal="center" vertical="center"/>
    </xf>
    <xf numFmtId="0" fontId="52" fillId="26" borderId="0" xfId="0" applyFont="1" applyFill="1" applyAlignment="1">
      <alignment horizontal="center" vertical="center"/>
    </xf>
    <xf numFmtId="0" fontId="52" fillId="27" borderId="0" xfId="0" quotePrefix="1" applyFont="1" applyFill="1" applyAlignment="1">
      <alignment horizontal="center" vertical="center"/>
    </xf>
    <xf numFmtId="0" fontId="52" fillId="27" borderId="0" xfId="0" applyFont="1" applyFill="1" applyAlignment="1">
      <alignment horizontal="center" vertical="center"/>
    </xf>
    <xf numFmtId="0" fontId="52" fillId="28" borderId="0" xfId="0" quotePrefix="1" applyFont="1" applyFill="1" applyAlignment="1">
      <alignment horizontal="center" vertical="center"/>
    </xf>
    <xf numFmtId="0" fontId="52" fillId="28" borderId="0" xfId="0" applyFont="1" applyFill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2" fontId="43" fillId="0" borderId="17" xfId="0" applyNumberFormat="1" applyFont="1" applyFill="1" applyBorder="1" applyAlignment="1">
      <alignment horizontal="center" vertical="center"/>
    </xf>
    <xf numFmtId="2" fontId="43" fillId="0" borderId="16" xfId="0" applyNumberFormat="1" applyFont="1" applyFill="1" applyBorder="1" applyAlignment="1">
      <alignment horizontal="center" vertical="center"/>
    </xf>
    <xf numFmtId="2" fontId="43" fillId="0" borderId="13" xfId="0" applyNumberFormat="1" applyFont="1" applyFill="1" applyBorder="1" applyAlignment="1">
      <alignment horizontal="center" vertical="center"/>
    </xf>
    <xf numFmtId="2" fontId="43" fillId="0" borderId="18" xfId="0" applyNumberFormat="1" applyFont="1" applyFill="1" applyBorder="1" applyAlignment="1">
      <alignment horizontal="center" vertical="center"/>
    </xf>
    <xf numFmtId="0" fontId="42" fillId="0" borderId="21" xfId="0" applyFont="1" applyBorder="1" applyAlignment="1">
      <alignment horizontal="center"/>
    </xf>
    <xf numFmtId="0" fontId="42" fillId="0" borderId="22" xfId="0" applyFont="1" applyBorder="1" applyAlignment="1">
      <alignment horizontal="center"/>
    </xf>
    <xf numFmtId="0" fontId="42" fillId="0" borderId="23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43" fillId="0" borderId="0" xfId="0" applyFont="1" applyBorder="1" applyAlignment="1">
      <alignment horizontal="center"/>
    </xf>
    <xf numFmtId="49" fontId="49" fillId="0" borderId="30" xfId="0" applyNumberFormat="1" applyFont="1" applyFill="1" applyBorder="1" applyAlignment="1">
      <alignment horizontal="center" vertical="center"/>
    </xf>
    <xf numFmtId="49" fontId="49" fillId="0" borderId="33" xfId="0" applyNumberFormat="1" applyFont="1" applyFill="1" applyBorder="1" applyAlignment="1">
      <alignment horizontal="center" vertical="center"/>
    </xf>
    <xf numFmtId="3" fontId="43" fillId="0" borderId="14" xfId="0" applyNumberFormat="1" applyFont="1" applyFill="1" applyBorder="1" applyAlignment="1">
      <alignment horizontal="center"/>
    </xf>
    <xf numFmtId="3" fontId="43" fillId="0" borderId="34" xfId="0" applyNumberFormat="1" applyFont="1" applyFill="1" applyBorder="1" applyAlignment="1">
      <alignment horizontal="center"/>
    </xf>
    <xf numFmtId="3" fontId="43" fillId="0" borderId="32" xfId="0" applyNumberFormat="1" applyFont="1" applyFill="1" applyBorder="1" applyAlignment="1">
      <alignment horizontal="center"/>
    </xf>
    <xf numFmtId="3" fontId="43" fillId="0" borderId="35" xfId="0" applyNumberFormat="1" applyFont="1" applyFill="1" applyBorder="1" applyAlignment="1">
      <alignment horizontal="center"/>
    </xf>
  </cellXfs>
  <cellStyles count="86">
    <cellStyle name="20 % - Accent1 2" xfId="1" xr:uid="{00000000-0005-0000-0000-000000000000}"/>
    <cellStyle name="20 % - Accent2 2" xfId="2" xr:uid="{00000000-0005-0000-0000-000001000000}"/>
    <cellStyle name="20 % - Accent3 2" xfId="3" xr:uid="{00000000-0005-0000-0000-000002000000}"/>
    <cellStyle name="20 % - Accent4 2" xfId="4" xr:uid="{00000000-0005-0000-0000-000003000000}"/>
    <cellStyle name="20 % - Accent5 2" xfId="5" xr:uid="{00000000-0005-0000-0000-000004000000}"/>
    <cellStyle name="20 % - Accent6 2" xfId="6" xr:uid="{00000000-0005-0000-0000-000005000000}"/>
    <cellStyle name="40 % - Accent1 2" xfId="7" xr:uid="{00000000-0005-0000-0000-000006000000}"/>
    <cellStyle name="40 % - Accent2 2" xfId="8" xr:uid="{00000000-0005-0000-0000-000007000000}"/>
    <cellStyle name="40 % - Accent3 2" xfId="9" xr:uid="{00000000-0005-0000-0000-000008000000}"/>
    <cellStyle name="40 % - Accent4 2" xfId="10" xr:uid="{00000000-0005-0000-0000-000009000000}"/>
    <cellStyle name="40 % - Accent5 2" xfId="11" xr:uid="{00000000-0005-0000-0000-00000A000000}"/>
    <cellStyle name="40 % - Accent6 2" xfId="12" xr:uid="{00000000-0005-0000-0000-00000B000000}"/>
    <cellStyle name="60 % - Accent1 2" xfId="13" xr:uid="{00000000-0005-0000-0000-00000C000000}"/>
    <cellStyle name="60 % - Accent2 2" xfId="14" xr:uid="{00000000-0005-0000-0000-00000D000000}"/>
    <cellStyle name="60 % - Accent3 2" xfId="15" xr:uid="{00000000-0005-0000-0000-00000E000000}"/>
    <cellStyle name="60 % - Accent4 2" xfId="16" xr:uid="{00000000-0005-0000-0000-00000F000000}"/>
    <cellStyle name="60 % - Accent5 2" xfId="17" xr:uid="{00000000-0005-0000-0000-000010000000}"/>
    <cellStyle name="60 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Avertissement 2" xfId="25" xr:uid="{00000000-0005-0000-0000-000018000000}"/>
    <cellStyle name="Calcul 2" xfId="26" xr:uid="{00000000-0005-0000-0000-000019000000}"/>
    <cellStyle name="Cellule liée 2" xfId="27" xr:uid="{00000000-0005-0000-0000-00001A000000}"/>
    <cellStyle name="Commentaire 2" xfId="28" xr:uid="{00000000-0005-0000-0000-00001B000000}"/>
    <cellStyle name="Entrée 2" xfId="29" xr:uid="{00000000-0005-0000-0000-00001C000000}"/>
    <cellStyle name="Insatisfaisant 2" xfId="30" xr:uid="{00000000-0005-0000-0000-00001D000000}"/>
    <cellStyle name="Lien hypertexte" xfId="65" builtinId="8"/>
    <cellStyle name="Milliers 2" xfId="50" xr:uid="{00000000-0005-0000-0000-00001F000000}"/>
    <cellStyle name="Milliers 3" xfId="70" xr:uid="{00000000-0005-0000-0000-000020000000}"/>
    <cellStyle name="Milliers 3 2" xfId="84" xr:uid="{CBBA1929-2FB4-4614-90D4-8A19264795F9}"/>
    <cellStyle name="Monétaire 2" xfId="43" xr:uid="{00000000-0005-0000-0000-000021000000}"/>
    <cellStyle name="Monétaire 2 2" xfId="72" xr:uid="{26A3FDE7-3365-4F3E-B436-55B51F40339F}"/>
    <cellStyle name="Neutre 2" xfId="31" xr:uid="{00000000-0005-0000-0000-000022000000}"/>
    <cellStyle name="Normal" xfId="0" builtinId="0"/>
    <cellStyle name="Normal 10" xfId="55" xr:uid="{00000000-0005-0000-0000-000024000000}"/>
    <cellStyle name="Normal 10 2" xfId="77" xr:uid="{FF9D7F99-151E-4A46-9DDA-9C708C3E48E5}"/>
    <cellStyle name="Normal 11" xfId="56" xr:uid="{00000000-0005-0000-0000-000025000000}"/>
    <cellStyle name="Normal 11 2" xfId="57" xr:uid="{00000000-0005-0000-0000-000026000000}"/>
    <cellStyle name="Normal 12" xfId="58" xr:uid="{00000000-0005-0000-0000-000027000000}"/>
    <cellStyle name="Normal 13" xfId="60" xr:uid="{00000000-0005-0000-0000-000028000000}"/>
    <cellStyle name="Normal 13 2" xfId="78" xr:uid="{700A80CC-F45F-4D6A-9E22-055EFEAC03D2}"/>
    <cellStyle name="Normal 14" xfId="61" xr:uid="{00000000-0005-0000-0000-000029000000}"/>
    <cellStyle name="Normal 14 2" xfId="64" xr:uid="{00000000-0005-0000-0000-00002A000000}"/>
    <cellStyle name="Normal 14 2 2" xfId="81" xr:uid="{3BC900E2-046F-4C54-A6A7-CEFB54A1C3F6}"/>
    <cellStyle name="Normal 14 3" xfId="79" xr:uid="{4C03605F-4496-4E21-9A36-6ACF1D17D376}"/>
    <cellStyle name="Normal 15" xfId="62" xr:uid="{00000000-0005-0000-0000-00002B000000}"/>
    <cellStyle name="Normal 15 2" xfId="80" xr:uid="{D8565FC1-FDFC-4AC6-AFD9-27E995E25276}"/>
    <cellStyle name="Normal 16" xfId="63" xr:uid="{00000000-0005-0000-0000-00002C000000}"/>
    <cellStyle name="Normal 17" xfId="66" xr:uid="{00000000-0005-0000-0000-00002D000000}"/>
    <cellStyle name="Normal 17 2" xfId="82" xr:uid="{CF7F380F-0F9A-46E3-8F2C-C14A09554F85}"/>
    <cellStyle name="Normal 18" xfId="69" xr:uid="{00000000-0005-0000-0000-00002E000000}"/>
    <cellStyle name="Normal 18 2" xfId="83" xr:uid="{CBCD01A0-0C6C-42D9-9E61-DB6F18DAEF16}"/>
    <cellStyle name="Normal 2" xfId="32" xr:uid="{00000000-0005-0000-0000-00002F000000}"/>
    <cellStyle name="Normal 2 2" xfId="48" xr:uid="{00000000-0005-0000-0000-000030000000}"/>
    <cellStyle name="Normal 2 3" xfId="68" xr:uid="{00000000-0005-0000-0000-000031000000}"/>
    <cellStyle name="Normal 3" xfId="44" xr:uid="{00000000-0005-0000-0000-000032000000}"/>
    <cellStyle name="Normal 3 2" xfId="67" xr:uid="{00000000-0005-0000-0000-000033000000}"/>
    <cellStyle name="Normal 4" xfId="45" xr:uid="{00000000-0005-0000-0000-000034000000}"/>
    <cellStyle name="Normal 4 2" xfId="73" xr:uid="{5EB53078-CD56-4606-B2ED-D2D0A6367E39}"/>
    <cellStyle name="Normal 5" xfId="46" xr:uid="{00000000-0005-0000-0000-000035000000}"/>
    <cellStyle name="Normal 5 2" xfId="74" xr:uid="{2580A7DB-83CF-4530-A1EA-4F31798B4BBA}"/>
    <cellStyle name="Normal 6" xfId="49" xr:uid="{00000000-0005-0000-0000-000036000000}"/>
    <cellStyle name="Normal 6 2" xfId="75" xr:uid="{85618754-38BC-4BD8-B1A2-5ECD904E82FE}"/>
    <cellStyle name="Normal 7" xfId="51" xr:uid="{00000000-0005-0000-0000-000037000000}"/>
    <cellStyle name="Normal 7 2" xfId="76" xr:uid="{9EC8B209-2484-4368-AF82-386AAA384934}"/>
    <cellStyle name="Normal 8" xfId="52" xr:uid="{00000000-0005-0000-0000-000038000000}"/>
    <cellStyle name="Normal 9" xfId="53" xr:uid="{00000000-0005-0000-0000-000039000000}"/>
    <cellStyle name="Normal 9 2" xfId="54" xr:uid="{00000000-0005-0000-0000-00003A000000}"/>
    <cellStyle name="Pourcentage 2" xfId="47" xr:uid="{00000000-0005-0000-0000-00003B000000}"/>
    <cellStyle name="Pourcentage 3" xfId="59" xr:uid="{00000000-0005-0000-0000-00003C000000}"/>
    <cellStyle name="Pourcentage 4" xfId="71" xr:uid="{00000000-0005-0000-0000-00003D000000}"/>
    <cellStyle name="Pourcentage 4 2" xfId="85" xr:uid="{D5D968DA-43D0-4C16-96EE-2BCC1ECC54A0}"/>
    <cellStyle name="Satisfaisant 2" xfId="33" xr:uid="{00000000-0005-0000-0000-00003E000000}"/>
    <cellStyle name="Sortie 2" xfId="34" xr:uid="{00000000-0005-0000-0000-00003F000000}"/>
    <cellStyle name="Texte explicatif 2" xfId="35" xr:uid="{00000000-0005-0000-0000-000040000000}"/>
    <cellStyle name="Titre 2" xfId="36" xr:uid="{00000000-0005-0000-0000-000041000000}"/>
    <cellStyle name="Titre 1 2" xfId="37" xr:uid="{00000000-0005-0000-0000-000042000000}"/>
    <cellStyle name="Titre 2 2" xfId="38" xr:uid="{00000000-0005-0000-0000-000043000000}"/>
    <cellStyle name="Titre 3 2" xfId="39" xr:uid="{00000000-0005-0000-0000-000044000000}"/>
    <cellStyle name="Titre 4 2" xfId="40" xr:uid="{00000000-0005-0000-0000-000045000000}"/>
    <cellStyle name="Total 2" xfId="41" xr:uid="{00000000-0005-0000-0000-000046000000}"/>
    <cellStyle name="Vérification 2" xfId="42" xr:uid="{00000000-0005-0000-0000-00004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716043"/>
      <color rgb="FFD8C634"/>
      <color rgb="FF00A9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r>
              <a:rPr lang="fr-FR"/>
              <a:t>Evolution des effectifs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'Fiche GT'!$B$21</c:f>
              <c:strCache>
                <c:ptCount val="1"/>
                <c:pt idx="0">
                  <c:v>Lycée GT</c:v>
                </c:pt>
              </c:strCache>
            </c:strRef>
          </c:tx>
          <c:spPr>
            <a:solidFill>
              <a:srgbClr val="00A95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'Fiche GT'!$E$20:$I$20</c:f>
              <c:numCache>
                <c:formatCode>General</c:formatCode>
                <c:ptCount val="5"/>
                <c:pt idx="0">
                  <c:v>2012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 formatCode="m/d/yyyy">
                  <c:v>46252</c:v>
                </c:pt>
              </c:numCache>
            </c:numRef>
          </c:cat>
          <c:val>
            <c:numRef>
              <c:f>'Fiche GT'!$E$21:$I$21</c:f>
              <c:numCache>
                <c:formatCode>#,##0</c:formatCode>
                <c:ptCount val="5"/>
                <c:pt idx="0">
                  <c:v>1464</c:v>
                </c:pt>
                <c:pt idx="1">
                  <c:v>1132</c:v>
                </c:pt>
                <c:pt idx="2">
                  <c:v>1120</c:v>
                </c:pt>
                <c:pt idx="3">
                  <c:v>1065</c:v>
                </c:pt>
                <c:pt idx="4">
                  <c:v>1038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8-4BC0-AF95-0B46D13CA060}"/>
            </c:ext>
          </c:extLst>
        </c:ser>
        <c:ser>
          <c:idx val="1"/>
          <c:order val="1"/>
          <c:tx>
            <c:strRef>
              <c:f>'Fiche GT'!$B$22</c:f>
              <c:strCache>
                <c:ptCount val="1"/>
                <c:pt idx="0">
                  <c:v>Post-bac</c:v>
                </c:pt>
              </c:strCache>
            </c:strRef>
          </c:tx>
          <c:spPr>
            <a:solidFill>
              <a:srgbClr val="71604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E-4DD3-A303-A400043D27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'Fiche GT'!$E$20:$I$20</c:f>
              <c:numCache>
                <c:formatCode>General</c:formatCode>
                <c:ptCount val="5"/>
                <c:pt idx="0">
                  <c:v>2012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 formatCode="m/d/yyyy">
                  <c:v>46252</c:v>
                </c:pt>
              </c:numCache>
            </c:numRef>
          </c:cat>
          <c:val>
            <c:numRef>
              <c:f>'Fiche GT'!$E$22:$I$22</c:f>
              <c:numCache>
                <c:formatCode>#,##0</c:formatCode>
                <c:ptCount val="5"/>
                <c:pt idx="0">
                  <c:v>379</c:v>
                </c:pt>
                <c:pt idx="1">
                  <c:v>473</c:v>
                </c:pt>
                <c:pt idx="2">
                  <c:v>431</c:v>
                </c:pt>
                <c:pt idx="3">
                  <c:v>427</c:v>
                </c:pt>
                <c:pt idx="4">
                  <c:v>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BE-4DD3-A303-A400043D2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37775616"/>
        <c:axId val="299902080"/>
      </c:barChart>
      <c:catAx>
        <c:axId val="13777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299902080"/>
        <c:crosses val="autoZero"/>
        <c:auto val="1"/>
        <c:lblAlgn val="ctr"/>
        <c:lblOffset val="100"/>
        <c:noMultiLvlLbl val="0"/>
      </c:catAx>
      <c:valAx>
        <c:axId val="29990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13777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Marianne" panose="02000000000000000000" pitchFamily="2" charset="0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284057971014494E-2"/>
          <c:y val="0.24444444444444444"/>
          <c:w val="0.94262604131005368"/>
          <c:h val="0.240038495188101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plus"/>
              <c:size val="5"/>
              <c:spPr>
                <a:noFill/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472F-4CBA-8B27-F6A45BB5B71D}"/>
              </c:ext>
            </c:extLst>
          </c:dPt>
          <c:dPt>
            <c:idx val="1"/>
            <c:marker>
              <c:symbol val="triangle"/>
              <c:size val="16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472F-4CBA-8B27-F6A45BB5B71D}"/>
              </c:ext>
            </c:extLst>
          </c:dPt>
          <c:dPt>
            <c:idx val="2"/>
            <c:marker>
              <c:symbol val="plus"/>
              <c:size val="5"/>
              <c:spPr>
                <a:noFill/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72F-4CBA-8B27-F6A45BB5B71D}"/>
              </c:ext>
            </c:extLst>
          </c:dPt>
          <c:xVal>
            <c:numRef>
              <c:f>'Fiche GT'!$J$81:$L$81</c:f>
            </c:numRef>
          </c:xVal>
          <c:yVal>
            <c:numRef>
              <c:f>'Fiche GT'!$J$82:$L$82</c:f>
            </c:numRef>
          </c:yVal>
          <c:smooth val="0"/>
          <c:extLst>
            <c:ext xmlns:c16="http://schemas.microsoft.com/office/drawing/2014/chart" uri="{C3380CC4-5D6E-409C-BE32-E72D297353CC}">
              <c16:uniqueId val="{00000003-472F-4CBA-8B27-F6A45BB5B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470208"/>
        <c:axId val="299470784"/>
      </c:scatterChart>
      <c:valAx>
        <c:axId val="299470208"/>
        <c:scaling>
          <c:orientation val="minMax"/>
          <c:max val="0"/>
          <c:min val="-6.64"/>
        </c:scaling>
        <c:delete val="1"/>
        <c:axPos val="b"/>
        <c:numFmt formatCode="0" sourceLinked="0"/>
        <c:majorTickMark val="out"/>
        <c:minorTickMark val="none"/>
        <c:tickLblPos val="nextTo"/>
        <c:crossAx val="299470784"/>
        <c:crosses val="autoZero"/>
        <c:crossBetween val="midCat"/>
        <c:majorUnit val="0.2"/>
        <c:minorUnit val="0.1"/>
      </c:valAx>
      <c:valAx>
        <c:axId val="2994707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299470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284057971014494E-2"/>
          <c:y val="0.24444444444444444"/>
          <c:w val="0.94262604131005368"/>
          <c:h val="0.240038495188101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plus"/>
              <c:size val="5"/>
              <c:spPr>
                <a:noFill/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3B4E-4710-A71C-879B4A26E1F8}"/>
              </c:ext>
            </c:extLst>
          </c:dPt>
          <c:dPt>
            <c:idx val="1"/>
            <c:marker>
              <c:symbol val="triangle"/>
              <c:size val="16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B4E-4710-A71C-879B4A26E1F8}"/>
              </c:ext>
            </c:extLst>
          </c:dPt>
          <c:dPt>
            <c:idx val="2"/>
            <c:marker>
              <c:symbol val="plus"/>
              <c:size val="5"/>
              <c:spPr>
                <a:noFill/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4E-4710-A71C-879B4A26E1F8}"/>
              </c:ext>
            </c:extLst>
          </c:dPt>
          <c:xVal>
            <c:numRef>
              <c:f>'Fiche GT'!$J$81:$L$81</c:f>
            </c:numRef>
          </c:xVal>
          <c:yVal>
            <c:numRef>
              <c:f>'Fiche GT'!$J$82:$L$82</c:f>
            </c:numRef>
          </c:yVal>
          <c:smooth val="0"/>
          <c:extLst>
            <c:ext xmlns:c16="http://schemas.microsoft.com/office/drawing/2014/chart" uri="{C3380CC4-5D6E-409C-BE32-E72D297353CC}">
              <c16:uniqueId val="{00000003-3B4E-4710-A71C-879B4A26E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472512"/>
        <c:axId val="299473088"/>
      </c:scatterChart>
      <c:valAx>
        <c:axId val="299472512"/>
        <c:scaling>
          <c:orientation val="minMax"/>
          <c:max val="6.5"/>
          <c:min val="0"/>
        </c:scaling>
        <c:delete val="1"/>
        <c:axPos val="b"/>
        <c:numFmt formatCode="0" sourceLinked="0"/>
        <c:majorTickMark val="out"/>
        <c:minorTickMark val="none"/>
        <c:tickLblPos val="nextTo"/>
        <c:crossAx val="299473088"/>
        <c:crosses val="autoZero"/>
        <c:crossBetween val="midCat"/>
        <c:majorUnit val="0.2"/>
        <c:minorUnit val="0.1"/>
      </c:valAx>
      <c:valAx>
        <c:axId val="29947308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299472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046844092296636"/>
          <c:y val="0.10193511909976452"/>
          <c:w val="0.48758929012310509"/>
          <c:h val="0.65130563371272099"/>
        </c:manualLayout>
      </c:layout>
      <c:radarChart>
        <c:radarStyle val="marker"/>
        <c:varyColors val="0"/>
        <c:ser>
          <c:idx val="0"/>
          <c:order val="0"/>
          <c:tx>
            <c:strRef>
              <c:f>'Fiche GT'!$B$1</c:f>
              <c:strCache>
                <c:ptCount val="1"/>
                <c:pt idx="0">
                  <c:v>9830002K : Lycée La Pérouse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'Fiche GT'!$K$98:$S$98</c:f>
              <c:strCache>
                <c:ptCount val="9"/>
                <c:pt idx="0">
                  <c:v>Indice d'éloignement*</c:v>
                </c:pt>
                <c:pt idx="1">
                  <c:v>Indice de position sociale</c:v>
                </c:pt>
                <c:pt idx="2">
                  <c:v>% élèves en retard en 2nde*</c:v>
                </c:pt>
                <c:pt idx="3">
                  <c:v>H/E</c:v>
                </c:pt>
                <c:pt idx="4">
                  <c:v>E/D*</c:v>
                </c:pt>
                <c:pt idx="5">
                  <c:v>% d'enseignants titulaires</c:v>
                </c:pt>
                <c:pt idx="6">
                  <c:v>Taux de passage 2nde GT/1ère G</c:v>
                </c:pt>
                <c:pt idx="7">
                  <c:v>Taux de redoublement 2nde*</c:v>
                </c:pt>
                <c:pt idx="8">
                  <c:v>Taux de réussite au bac GT</c:v>
                </c:pt>
              </c:strCache>
            </c:strRef>
          </c:cat>
          <c:val>
            <c:numRef>
              <c:f>'Fiche GT'!$K$99:$S$99</c:f>
              <c:numCache>
                <c:formatCode>0.0</c:formatCode>
                <c:ptCount val="9"/>
                <c:pt idx="0">
                  <c:v>5</c:v>
                </c:pt>
                <c:pt idx="1">
                  <c:v>5</c:v>
                </c:pt>
                <c:pt idx="2">
                  <c:v>-1.25</c:v>
                </c:pt>
                <c:pt idx="3">
                  <c:v>-4.3548390000000001</c:v>
                </c:pt>
                <c:pt idx="4">
                  <c:v>-2.5806450000000001</c:v>
                </c:pt>
                <c:pt idx="5">
                  <c:v>4.8684209999999997</c:v>
                </c:pt>
                <c:pt idx="6">
                  <c:v>2.1604939999999999</c:v>
                </c:pt>
                <c:pt idx="7">
                  <c:v>2.5</c:v>
                </c:pt>
                <c:pt idx="8">
                  <c:v>2.7976190000000001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B3-49B2-AC45-0015BF5F841B}"/>
            </c:ext>
          </c:extLst>
        </c:ser>
        <c:ser>
          <c:idx val="1"/>
          <c:order val="1"/>
          <c:tx>
            <c:strRef>
              <c:f>'Fiche GT'!$J$100</c:f>
              <c:strCache>
                <c:ptCount val="1"/>
                <c:pt idx="0">
                  <c:v>Public + privé</c:v>
                </c:pt>
              </c:strCache>
            </c:strRef>
          </c:tx>
          <c:spPr>
            <a:ln w="25400">
              <a:solidFill>
                <a:srgbClr val="3333CC"/>
              </a:solidFill>
              <a:prstDash val="lgDash"/>
            </a:ln>
          </c:spPr>
          <c:marker>
            <c:symbol val="none"/>
          </c:marker>
          <c:cat>
            <c:strRef>
              <c:f>'Fiche GT'!$K$98:$S$98</c:f>
              <c:strCache>
                <c:ptCount val="9"/>
                <c:pt idx="0">
                  <c:v>Indice d'éloignement*</c:v>
                </c:pt>
                <c:pt idx="1">
                  <c:v>Indice de position sociale</c:v>
                </c:pt>
                <c:pt idx="2">
                  <c:v>% élèves en retard en 2nde*</c:v>
                </c:pt>
                <c:pt idx="3">
                  <c:v>H/E</c:v>
                </c:pt>
                <c:pt idx="4">
                  <c:v>E/D*</c:v>
                </c:pt>
                <c:pt idx="5">
                  <c:v>% d'enseignants titulaires</c:v>
                </c:pt>
                <c:pt idx="6">
                  <c:v>Taux de passage 2nde GT/1ère G</c:v>
                </c:pt>
                <c:pt idx="7">
                  <c:v>Taux de redoublement 2nde*</c:v>
                </c:pt>
                <c:pt idx="8">
                  <c:v>Taux de réussite au bac GT</c:v>
                </c:pt>
              </c:strCache>
            </c:strRef>
          </c:cat>
          <c:val>
            <c:numRef>
              <c:f>'Fiche GT'!$K$100:$S$100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B3-49B2-AC45-0015BF5F8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944576"/>
        <c:axId val="140099584"/>
      </c:radarChart>
      <c:catAx>
        <c:axId val="1379445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0099584"/>
        <c:crosses val="autoZero"/>
        <c:auto val="0"/>
        <c:lblAlgn val="ctr"/>
        <c:lblOffset val="100"/>
        <c:noMultiLvlLbl val="0"/>
      </c:catAx>
      <c:valAx>
        <c:axId val="140099584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" sourceLinked="0"/>
        <c:majorTickMark val="cross"/>
        <c:min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7944576"/>
        <c:crosses val="autoZero"/>
        <c:crossBetween val="between"/>
        <c:majorUnit val="1"/>
        <c:minorUnit val="1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</c:legendEntry>
      <c:layout>
        <c:manualLayout>
          <c:xMode val="edge"/>
          <c:yMode val="edge"/>
          <c:x val="0.70361232342339264"/>
          <c:y val="0.82071414274413346"/>
          <c:w val="0.29283620299995061"/>
          <c:h val="8.95031742991601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r>
              <a:rPr lang="fr-FR"/>
              <a:t>Evolution des effectifs de niveau lycée PRO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'Fiche PRO'!$C$19</c:f>
              <c:strCache>
                <c:ptCount val="1"/>
                <c:pt idx="0">
                  <c:v>Lycée PRO</c:v>
                </c:pt>
              </c:strCache>
            </c:strRef>
          </c:tx>
          <c:spPr>
            <a:solidFill>
              <a:srgbClr val="D8C63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'Fiche PRO'!$D$18:$I$18</c15:sqref>
                  </c15:fullRef>
                </c:ext>
              </c:extLst>
              <c:f>('Fiche PRO'!$D$18:$G$18,'Fiche PRO'!$I$18)</c:f>
              <c:strCache>
                <c:ptCount val="5"/>
                <c:pt idx="0">
                  <c:v>2012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18/08/2026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'Fiche PRO'!$D$19:$I$19</c15:sqref>
                  </c15:fullRef>
                </c:ext>
              </c:extLst>
              <c:f>('Fiche PRO'!$D$19:$G$19,'Fiche PRO'!$I$19)</c:f>
              <c:numCache>
                <c:formatCode>#,##0</c:formatCode>
                <c:ptCount val="5"/>
                <c:pt idx="0">
                  <c:v>1185</c:v>
                </c:pt>
                <c:pt idx="1">
                  <c:v>945</c:v>
                </c:pt>
                <c:pt idx="2">
                  <c:v>1034</c:v>
                </c:pt>
                <c:pt idx="3">
                  <c:v>996</c:v>
                </c:pt>
                <c:pt idx="4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C-4A9F-94A2-E66FCC8F363B}"/>
            </c:ext>
          </c:extLst>
        </c:ser>
        <c:ser>
          <c:idx val="1"/>
          <c:order val="1"/>
          <c:tx>
            <c:strRef>
              <c:f>'Fiche PRO'!$C$20</c:f>
              <c:strCache>
                <c:ptCount val="1"/>
                <c:pt idx="0">
                  <c:v>Post-bac</c:v>
                </c:pt>
              </c:strCache>
            </c:strRef>
          </c:tx>
          <c:spPr>
            <a:solidFill>
              <a:srgbClr val="71604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23-4E5D-B7DE-5F0DF80378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bg1"/>
                    </a:solidFill>
                    <a:latin typeface="Marianne" panose="02000000000000000000" pitchFamily="2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'Fiche PRO'!$D$18:$I$18</c15:sqref>
                  </c15:fullRef>
                </c:ext>
              </c:extLst>
              <c:f>('Fiche PRO'!$D$18:$G$18,'Fiche PRO'!$I$18)</c:f>
              <c:strCache>
                <c:ptCount val="5"/>
                <c:pt idx="0">
                  <c:v>2012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18/08/2026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'Fiche PRO'!$D$20:$I$20</c15:sqref>
                  </c15:fullRef>
                </c:ext>
              </c:extLst>
              <c:f>('Fiche PRO'!$D$20:$G$20,'Fiche PRO'!$I$20)</c:f>
              <c:numCache>
                <c:formatCode>#,##0</c:formatCode>
                <c:ptCount val="5"/>
                <c:pt idx="0">
                  <c:v>0</c:v>
                </c:pt>
                <c:pt idx="1">
                  <c:v>115</c:v>
                </c:pt>
                <c:pt idx="2">
                  <c:v>118</c:v>
                </c:pt>
                <c:pt idx="3">
                  <c:v>104</c:v>
                </c:pt>
                <c:pt idx="4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23-4E5D-B7DE-5F0DF803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40232704"/>
        <c:axId val="140103040"/>
      </c:barChart>
      <c:catAx>
        <c:axId val="14023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140103040"/>
        <c:crosses val="autoZero"/>
        <c:auto val="0"/>
        <c:lblAlgn val="ctr"/>
        <c:lblOffset val="100"/>
        <c:noMultiLvlLbl val="0"/>
      </c:catAx>
      <c:valAx>
        <c:axId val="14010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Marianne" panose="02000000000000000000" pitchFamily="2" charset="0"/>
                <a:ea typeface="+mn-ea"/>
                <a:cs typeface="+mn-cs"/>
              </a:defRPr>
            </a:pPr>
            <a:endParaRPr lang="fr-FR"/>
          </a:p>
        </c:txPr>
        <c:crossAx val="14023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Marianne" panose="02000000000000000000" pitchFamily="2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Marianne" panose="02000000000000000000" pitchFamily="2" charset="0"/>
          <a:ea typeface="+mn-ea"/>
          <a:cs typeface="+mn-cs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284057971014494E-2"/>
          <c:y val="0.24444444444444444"/>
          <c:w val="0.94262604131005368"/>
          <c:h val="0.240038495188101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plus"/>
              <c:size val="5"/>
              <c:spPr>
                <a:noFill/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6FE-4A73-AAE4-88B1FD254FB0}"/>
              </c:ext>
            </c:extLst>
          </c:dPt>
          <c:dPt>
            <c:idx val="1"/>
            <c:marker>
              <c:symbol val="triangle"/>
              <c:size val="16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6FE-4A73-AAE4-88B1FD254FB0}"/>
              </c:ext>
            </c:extLst>
          </c:dPt>
          <c:dPt>
            <c:idx val="2"/>
            <c:marker>
              <c:symbol val="plus"/>
              <c:size val="5"/>
              <c:spPr>
                <a:noFill/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FE-4A73-AAE4-88B1FD254FB0}"/>
              </c:ext>
            </c:extLst>
          </c:dPt>
          <c:xVal>
            <c:numRef>
              <c:f>'Fiche PRO'!$J$77:$L$77</c:f>
            </c:numRef>
          </c:xVal>
          <c:yVal>
            <c:numRef>
              <c:f>'Fiche PRO'!$J$78:$L$78</c:f>
            </c:numRef>
          </c:yVal>
          <c:smooth val="0"/>
          <c:extLst>
            <c:ext xmlns:c16="http://schemas.microsoft.com/office/drawing/2014/chart" uri="{C3380CC4-5D6E-409C-BE32-E72D297353CC}">
              <c16:uniqueId val="{00000003-96FE-4A73-AAE4-88B1FD254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359872"/>
        <c:axId val="140360448"/>
      </c:scatterChart>
      <c:valAx>
        <c:axId val="140359872"/>
        <c:scaling>
          <c:orientation val="minMax"/>
          <c:max val="0"/>
          <c:min val="-6.64"/>
        </c:scaling>
        <c:delete val="1"/>
        <c:axPos val="b"/>
        <c:numFmt formatCode="0" sourceLinked="0"/>
        <c:majorTickMark val="out"/>
        <c:minorTickMark val="none"/>
        <c:tickLblPos val="nextTo"/>
        <c:crossAx val="140360448"/>
        <c:crosses val="autoZero"/>
        <c:crossBetween val="midCat"/>
        <c:majorUnit val="0.2"/>
        <c:minorUnit val="0.1"/>
      </c:valAx>
      <c:valAx>
        <c:axId val="1403604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1403598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284057971014494E-2"/>
          <c:y val="0.24444444444444444"/>
          <c:w val="0.94262604131005368"/>
          <c:h val="0.240038495188101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plus"/>
              <c:size val="5"/>
              <c:spPr>
                <a:noFill/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A47-46ED-8C27-9550FD6A6233}"/>
              </c:ext>
            </c:extLst>
          </c:dPt>
          <c:dPt>
            <c:idx val="1"/>
            <c:marker>
              <c:symbol val="triangle"/>
              <c:size val="16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6A47-46ED-8C27-9550FD6A6233}"/>
              </c:ext>
            </c:extLst>
          </c:dPt>
          <c:dPt>
            <c:idx val="2"/>
            <c:marker>
              <c:symbol val="plus"/>
              <c:size val="5"/>
              <c:spPr>
                <a:noFill/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A47-46ED-8C27-9550FD6A6233}"/>
              </c:ext>
            </c:extLst>
          </c:dPt>
          <c:xVal>
            <c:numRef>
              <c:f>'Fiche PRO'!$J$77:$L$77</c:f>
            </c:numRef>
          </c:xVal>
          <c:yVal>
            <c:numRef>
              <c:f>'Fiche PRO'!$J$78:$L$78</c:f>
            </c:numRef>
          </c:yVal>
          <c:smooth val="0"/>
          <c:extLst>
            <c:ext xmlns:c16="http://schemas.microsoft.com/office/drawing/2014/chart" uri="{C3380CC4-5D6E-409C-BE32-E72D297353CC}">
              <c16:uniqueId val="{00000003-6A47-46ED-8C27-9550FD6A6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845632"/>
        <c:axId val="140846208"/>
      </c:scatterChart>
      <c:valAx>
        <c:axId val="140845632"/>
        <c:scaling>
          <c:orientation val="minMax"/>
          <c:max val="6.5"/>
          <c:min val="0"/>
        </c:scaling>
        <c:delete val="1"/>
        <c:axPos val="b"/>
        <c:numFmt formatCode="0" sourceLinked="0"/>
        <c:majorTickMark val="out"/>
        <c:minorTickMark val="none"/>
        <c:tickLblPos val="nextTo"/>
        <c:crossAx val="140846208"/>
        <c:crosses val="autoZero"/>
        <c:crossBetween val="midCat"/>
        <c:majorUnit val="0.2"/>
        <c:minorUnit val="0.1"/>
      </c:valAx>
      <c:valAx>
        <c:axId val="14084620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crossAx val="1408456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046844092296636"/>
          <c:y val="8.4242265925290244E-2"/>
          <c:w val="0.46708321689433918"/>
          <c:h val="0.78436922872792103"/>
        </c:manualLayout>
      </c:layout>
      <c:radarChart>
        <c:radarStyle val="marker"/>
        <c:varyColors val="0"/>
        <c:ser>
          <c:idx val="0"/>
          <c:order val="0"/>
          <c:tx>
            <c:strRef>
              <c:f>'Fiche PRO'!$B$1</c:f>
              <c:strCache>
                <c:ptCount val="1"/>
                <c:pt idx="0">
                  <c:v>9830006P : Lycee professionnel, commercial et hôtelier Auguste Escoffier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'Fiche PRO'!$K$94:$S$94</c:f>
              <c:strCache>
                <c:ptCount val="9"/>
                <c:pt idx="0">
                  <c:v>Indice d'éloignement*</c:v>
                </c:pt>
                <c:pt idx="1">
                  <c:v>Indice de position sociale</c:v>
                </c:pt>
                <c:pt idx="2">
                  <c:v>% élèves en retard en 2nde PRO*</c:v>
                </c:pt>
                <c:pt idx="3">
                  <c:v>H/E</c:v>
                </c:pt>
                <c:pt idx="4">
                  <c:v>E/D*</c:v>
                </c:pt>
                <c:pt idx="5">
                  <c:v>% d'enseignants titulaires</c:v>
                </c:pt>
                <c:pt idx="6">
                  <c:v>Taux de passage 2nde /1ère PRO</c:v>
                </c:pt>
                <c:pt idx="7">
                  <c:v>Taux de redoublement 2nde PRO*</c:v>
                </c:pt>
                <c:pt idx="8">
                  <c:v>Taux de réussite au bac PRO</c:v>
                </c:pt>
              </c:strCache>
            </c:strRef>
          </c:cat>
          <c:val>
            <c:numRef>
              <c:f>'Fiche PRO'!$K$95:$S$95</c:f>
              <c:numCache>
                <c:formatCode>0.0</c:formatCode>
                <c:ptCount val="9"/>
                <c:pt idx="0">
                  <c:v>5</c:v>
                </c:pt>
                <c:pt idx="1">
                  <c:v>-0.265152</c:v>
                </c:pt>
                <c:pt idx="2">
                  <c:v>1.6923079999999999</c:v>
                </c:pt>
                <c:pt idx="3">
                  <c:v>-1.487603</c:v>
                </c:pt>
                <c:pt idx="4">
                  <c:v>-5</c:v>
                </c:pt>
                <c:pt idx="5">
                  <c:v>4.913043</c:v>
                </c:pt>
                <c:pt idx="6">
                  <c:v>1.1842109999999999</c:v>
                </c:pt>
                <c:pt idx="7">
                  <c:v>1</c:v>
                </c:pt>
                <c:pt idx="8">
                  <c:v>-0.65517199999999998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0-44E2-A160-954C90C95B5E}"/>
            </c:ext>
          </c:extLst>
        </c:ser>
        <c:ser>
          <c:idx val="1"/>
          <c:order val="1"/>
          <c:tx>
            <c:strRef>
              <c:f>'Fiche PRO'!$J$96</c:f>
              <c:strCache>
                <c:ptCount val="1"/>
                <c:pt idx="0">
                  <c:v>Public + privé</c:v>
                </c:pt>
              </c:strCache>
            </c:strRef>
          </c:tx>
          <c:spPr>
            <a:ln w="25400">
              <a:solidFill>
                <a:srgbClr val="3333CC"/>
              </a:solidFill>
              <a:prstDash val="lgDash"/>
            </a:ln>
          </c:spPr>
          <c:marker>
            <c:symbol val="none"/>
          </c:marker>
          <c:cat>
            <c:strRef>
              <c:f>'Fiche PRO'!$K$94:$S$94</c:f>
              <c:strCache>
                <c:ptCount val="9"/>
                <c:pt idx="0">
                  <c:v>Indice d'éloignement*</c:v>
                </c:pt>
                <c:pt idx="1">
                  <c:v>Indice de position sociale</c:v>
                </c:pt>
                <c:pt idx="2">
                  <c:v>% élèves en retard en 2nde PRO*</c:v>
                </c:pt>
                <c:pt idx="3">
                  <c:v>H/E</c:v>
                </c:pt>
                <c:pt idx="4">
                  <c:v>E/D*</c:v>
                </c:pt>
                <c:pt idx="5">
                  <c:v>% d'enseignants titulaires</c:v>
                </c:pt>
                <c:pt idx="6">
                  <c:v>Taux de passage 2nde /1ère PRO</c:v>
                </c:pt>
                <c:pt idx="7">
                  <c:v>Taux de redoublement 2nde PRO*</c:v>
                </c:pt>
                <c:pt idx="8">
                  <c:v>Taux de réussite au bac PRO</c:v>
                </c:pt>
              </c:strCache>
            </c:strRef>
          </c:cat>
          <c:val>
            <c:numRef>
              <c:f>'Fiche PRO'!$K$96:$S$96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20-44E2-A160-954C90C95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910592"/>
        <c:axId val="140847936"/>
      </c:radarChart>
      <c:catAx>
        <c:axId val="1409105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0847936"/>
        <c:crosses val="autoZero"/>
        <c:auto val="0"/>
        <c:lblAlgn val="ctr"/>
        <c:lblOffset val="100"/>
        <c:noMultiLvlLbl val="0"/>
      </c:catAx>
      <c:valAx>
        <c:axId val="140847936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" sourceLinked="0"/>
        <c:majorTickMark val="cross"/>
        <c:minorTickMark val="cross"/>
        <c:tickLblPos val="none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0910592"/>
        <c:crosses val="autoZero"/>
        <c:crossBetween val="between"/>
        <c:majorUnit val="1"/>
        <c:minorUnit val="1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</c:legendEntry>
      <c:layout>
        <c:manualLayout>
          <c:xMode val="edge"/>
          <c:yMode val="edge"/>
          <c:x val="0.70361232342339264"/>
          <c:y val="0.82071414274413346"/>
          <c:w val="0.29283620299995061"/>
          <c:h val="8.71207850704108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2.png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22</xdr:row>
      <xdr:rowOff>133349</xdr:rowOff>
    </xdr:from>
    <xdr:to>
      <xdr:col>8</xdr:col>
      <xdr:colOff>923924</xdr:colOff>
      <xdr:row>35</xdr:row>
      <xdr:rowOff>133349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4</xdr:col>
      <xdr:colOff>0</xdr:colOff>
      <xdr:row>83</xdr:row>
      <xdr:rowOff>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80</xdr:row>
      <xdr:rowOff>0</xdr:rowOff>
    </xdr:from>
    <xdr:to>
      <xdr:col>9</xdr:col>
      <xdr:colOff>0</xdr:colOff>
      <xdr:row>83</xdr:row>
      <xdr:rowOff>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absoluteAnchor>
    <xdr:pos x="400050" y="15544799"/>
    <xdr:ext cx="6581775" cy="5330783"/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twoCellAnchor editAs="oneCell">
    <xdr:from>
      <xdr:col>1</xdr:col>
      <xdr:colOff>57150</xdr:colOff>
      <xdr:row>2</xdr:row>
      <xdr:rowOff>9525</xdr:rowOff>
    </xdr:from>
    <xdr:to>
      <xdr:col>2</xdr:col>
      <xdr:colOff>746514</xdr:colOff>
      <xdr:row>15</xdr:row>
      <xdr:rowOff>38099</xdr:rowOff>
    </xdr:to>
    <xdr:pic>
      <xdr:nvPicPr>
        <xdr:cNvPr id="11" name="Image 10" descr="http://intranet.in.ac-noumea.nc/vr/IMG/png/logovrnc-dge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71475"/>
          <a:ext cx="2003814" cy="895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0.21309</cdr:x>
      <cdr:y>0.21525</cdr:y>
    </cdr:from>
    <cdr:to>
      <cdr:x>0.21309</cdr:x>
      <cdr:y>0.86547</cdr:y>
    </cdr:to>
    <cdr:cxnSp macro="">
      <cdr:nvCxnSpPr>
        <cdr:cNvPr id="3" name="Connecteur droit 2">
          <a:extLst xmlns:a="http://schemas.openxmlformats.org/drawingml/2006/main">
            <a:ext uri="{FF2B5EF4-FFF2-40B4-BE49-F238E27FC236}">
              <a16:creationId xmlns:a16="http://schemas.microsoft.com/office/drawing/2014/main" id="{421A6E2B-21CA-4E38-A17E-F3C7EFD5ED9E}"/>
            </a:ext>
          </a:extLst>
        </cdr:cNvPr>
        <cdr:cNvCxnSpPr/>
      </cdr:nvCxnSpPr>
      <cdr:spPr bwMode="auto">
        <a:xfrm xmlns:a="http://schemas.openxmlformats.org/drawingml/2006/main">
          <a:off x="1495857" y="453107"/>
          <a:ext cx="0" cy="1368729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0.00117</cdr:x>
      <cdr:y>0.82014</cdr:y>
    </cdr:from>
    <cdr:to>
      <cdr:x>0.70188</cdr:x>
      <cdr:y>0.90948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" y="4371988"/>
          <a:ext cx="4611915" cy="476238"/>
        </a:xfrm>
        <a:prstGeom xmlns:a="http://schemas.openxmlformats.org/drawingml/2006/main" prst="rect">
          <a:avLst/>
        </a:prstGeom>
        <a:ln xmlns:a="http://schemas.openxmlformats.org/drawingml/2006/main" w="9525">
          <a:headEnd/>
          <a:tailEnd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Lecture : Plus le polygone de l'établissement tend vers l'extérieur, plus la situation de l'établissement est favorable pour le domaine concerné, </a:t>
          </a:r>
        </a:p>
        <a:p xmlns:a="http://schemas.openxmlformats.org/drawingml/2006/main"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Plus le polygone de l'établissement se trouve éloigné du trait bleu, plus l'écart avec la moyenne académique est significative.</a:t>
          </a:r>
        </a:p>
      </cdr:txBody>
    </cdr:sp>
  </cdr:relSizeAnchor>
  <cdr:relSizeAnchor xmlns:cdr="http://schemas.openxmlformats.org/drawingml/2006/chartDrawing">
    <cdr:from>
      <cdr:x>0.84533</cdr:x>
      <cdr:y>0.74375</cdr:y>
    </cdr:from>
    <cdr:to>
      <cdr:x>0.9946</cdr:x>
      <cdr:y>0.77535</cdr:y>
    </cdr:to>
    <cdr:sp macro="" textlink="">
      <cdr:nvSpPr>
        <cdr:cNvPr id="10" name="Rectangle 9"/>
        <cdr:cNvSpPr/>
      </cdr:nvSpPr>
      <cdr:spPr bwMode="auto">
        <a:xfrm xmlns:a="http://schemas.openxmlformats.org/drawingml/2006/main">
          <a:off x="5563753" y="3964755"/>
          <a:ext cx="982462" cy="1684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1050"/>
            <a:t>* indicateurs inversés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104775</xdr:rowOff>
    </xdr:from>
    <xdr:to>
      <xdr:col>2</xdr:col>
      <xdr:colOff>2738</xdr:colOff>
      <xdr:row>15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304800"/>
          <a:ext cx="1307663" cy="9620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161924</xdr:rowOff>
    </xdr:from>
    <xdr:to>
      <xdr:col>8</xdr:col>
      <xdr:colOff>904874</xdr:colOff>
      <xdr:row>33</xdr:row>
      <xdr:rowOff>161924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76</xdr:row>
      <xdr:rowOff>0</xdr:rowOff>
    </xdr:from>
    <xdr:to>
      <xdr:col>4</xdr:col>
      <xdr:colOff>0</xdr:colOff>
      <xdr:row>79</xdr:row>
      <xdr:rowOff>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76</xdr:row>
      <xdr:rowOff>0</xdr:rowOff>
    </xdr:from>
    <xdr:to>
      <xdr:col>9</xdr:col>
      <xdr:colOff>0</xdr:colOff>
      <xdr:row>79</xdr:row>
      <xdr:rowOff>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absoluteAnchor>
    <xdr:pos x="333375" y="15154274"/>
    <xdr:ext cx="6581775" cy="5330783"/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0.19341</cdr:x>
      <cdr:y>0.22882</cdr:y>
    </cdr:from>
    <cdr:to>
      <cdr:x>0.19341</cdr:x>
      <cdr:y>0.87904</cdr:y>
    </cdr:to>
    <cdr:cxnSp macro="">
      <cdr:nvCxnSpPr>
        <cdr:cNvPr id="3" name="Connecteur droit 2">
          <a:extLst xmlns:a="http://schemas.openxmlformats.org/drawingml/2006/main">
            <a:ext uri="{FF2B5EF4-FFF2-40B4-BE49-F238E27FC236}">
              <a16:creationId xmlns:a16="http://schemas.microsoft.com/office/drawing/2014/main" id="{A39B582A-96D9-4A29-B370-52BB77E7F985}"/>
            </a:ext>
          </a:extLst>
        </cdr:cNvPr>
        <cdr:cNvCxnSpPr/>
      </cdr:nvCxnSpPr>
      <cdr:spPr bwMode="auto">
        <a:xfrm xmlns:a="http://schemas.openxmlformats.org/drawingml/2006/main">
          <a:off x="1284048" y="481682"/>
          <a:ext cx="0" cy="1368729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0.00117</cdr:x>
      <cdr:y>0.82014</cdr:y>
    </cdr:from>
    <cdr:to>
      <cdr:x>0.70188</cdr:x>
      <cdr:y>0.90769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" y="4371987"/>
          <a:ext cx="4611915" cy="466713"/>
        </a:xfrm>
        <a:prstGeom xmlns:a="http://schemas.openxmlformats.org/drawingml/2006/main" prst="rect">
          <a:avLst/>
        </a:prstGeom>
        <a:ln xmlns:a="http://schemas.openxmlformats.org/drawingml/2006/main" w="9525">
          <a:headEnd/>
          <a:tailEnd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Lecture : Plus le polygone de l'établissement tend vers l'extérieur, plus la situation de l'établissement est favorable pour le domaine concerné, </a:t>
          </a:r>
        </a:p>
        <a:p xmlns:a="http://schemas.openxmlformats.org/drawingml/2006/main"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Plus le polygone de l'établissement se trouve éloigné du trait bleu, plus l'écart avec la moyenne académique est significative.</a:t>
          </a:r>
        </a:p>
      </cdr:txBody>
    </cdr:sp>
  </cdr:relSizeAnchor>
  <cdr:relSizeAnchor xmlns:cdr="http://schemas.openxmlformats.org/drawingml/2006/chartDrawing">
    <cdr:from>
      <cdr:x>0.84533</cdr:x>
      <cdr:y>0.74375</cdr:y>
    </cdr:from>
    <cdr:to>
      <cdr:x>0.9946</cdr:x>
      <cdr:y>0.77535</cdr:y>
    </cdr:to>
    <cdr:sp macro="" textlink="">
      <cdr:nvSpPr>
        <cdr:cNvPr id="10" name="Rectangle 9"/>
        <cdr:cNvSpPr/>
      </cdr:nvSpPr>
      <cdr:spPr bwMode="auto">
        <a:xfrm xmlns:a="http://schemas.openxmlformats.org/drawingml/2006/main">
          <a:off x="5563753" y="3964755"/>
          <a:ext cx="982462" cy="1684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fr-FR" sz="1050"/>
            <a:t>* indicateurs inversés</a:t>
          </a:r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.9830003l@ac-noumea.n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e.9830003l@ac-noumea.n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B1:Y126"/>
  <sheetViews>
    <sheetView tabSelected="1" workbookViewId="0">
      <selection activeCell="B1" sqref="B1:I1"/>
    </sheetView>
  </sheetViews>
  <sheetFormatPr baseColWidth="10" defaultColWidth="11.42578125" defaultRowHeight="15.75"/>
  <cols>
    <col min="1" max="1" width="4.7109375" style="47" customWidth="1"/>
    <col min="2" max="2" width="19.7109375" style="47" customWidth="1"/>
    <col min="3" max="3" width="11.42578125" style="47"/>
    <col min="4" max="4" width="13.42578125" style="47" customWidth="1"/>
    <col min="5" max="5" width="16.28515625" style="47" customWidth="1"/>
    <col min="6" max="6" width="13.85546875" style="47" customWidth="1"/>
    <col min="7" max="8" width="11.28515625" style="47" customWidth="1"/>
    <col min="9" max="9" width="13.85546875" style="47" customWidth="1"/>
    <col min="10" max="16384" width="11.42578125" style="47"/>
  </cols>
  <sheetData>
    <row r="1" spans="2:18" ht="18.75">
      <c r="B1" s="140" t="s">
        <v>119</v>
      </c>
      <c r="C1" s="140"/>
      <c r="D1" s="140"/>
      <c r="E1" s="140"/>
      <c r="F1" s="140"/>
      <c r="G1" s="140"/>
      <c r="H1" s="140"/>
      <c r="I1" s="140"/>
      <c r="K1" s="46" t="s">
        <v>185</v>
      </c>
      <c r="L1" s="45"/>
      <c r="M1" s="45"/>
      <c r="N1" s="45"/>
      <c r="O1" s="45"/>
      <c r="P1" s="45"/>
      <c r="Q1" s="45"/>
      <c r="R1" s="44"/>
    </row>
    <row r="3" spans="2:18" ht="18">
      <c r="B3" s="43" t="str">
        <f>VLOOKUP(B1,Base_lyc!A2:B11,2,FALSE)</f>
        <v>9830002K</v>
      </c>
      <c r="D3" s="42"/>
      <c r="E3" s="47" t="s">
        <v>28</v>
      </c>
      <c r="F3" s="53" t="str">
        <f>VLOOKUP(B3,Base_lyc!B2:D11,3,FALSE)</f>
        <v>Nouméa</v>
      </c>
    </row>
    <row r="6" spans="2:18" ht="3" customHeight="1"/>
    <row r="7" spans="2:18" ht="18.75" hidden="1">
      <c r="B7" s="48" t="s">
        <v>16</v>
      </c>
      <c r="C7" s="48"/>
      <c r="D7" s="48"/>
      <c r="E7" s="48"/>
      <c r="F7" s="48"/>
      <c r="G7" s="48"/>
      <c r="H7" s="48"/>
    </row>
    <row r="8" spans="2:18" hidden="1"/>
    <row r="9" spans="2:18" hidden="1">
      <c r="B9" s="47" t="s">
        <v>28</v>
      </c>
      <c r="C9" s="47" t="s">
        <v>26</v>
      </c>
      <c r="E9" s="51" t="s">
        <v>38</v>
      </c>
      <c r="G9" s="47" t="s">
        <v>37</v>
      </c>
    </row>
    <row r="10" spans="2:18" hidden="1">
      <c r="B10" s="47" t="s">
        <v>27</v>
      </c>
      <c r="C10" s="47" t="s">
        <v>33</v>
      </c>
      <c r="E10" s="51" t="s">
        <v>39</v>
      </c>
    </row>
    <row r="11" spans="2:18" hidden="1">
      <c r="B11" s="47" t="s">
        <v>23</v>
      </c>
      <c r="C11" s="47" t="s">
        <v>34</v>
      </c>
      <c r="E11" s="50" t="s">
        <v>40</v>
      </c>
    </row>
    <row r="12" spans="2:18" hidden="1">
      <c r="B12" s="47" t="s">
        <v>24</v>
      </c>
      <c r="C12" s="47" t="s">
        <v>35</v>
      </c>
      <c r="E12" s="50" t="s">
        <v>11</v>
      </c>
    </row>
    <row r="13" spans="2:18" hidden="1">
      <c r="B13" s="47" t="s">
        <v>25</v>
      </c>
      <c r="C13" s="49" t="s">
        <v>36</v>
      </c>
      <c r="E13" s="50"/>
    </row>
    <row r="14" spans="2:18" hidden="1">
      <c r="E14" s="50" t="s">
        <v>12</v>
      </c>
    </row>
    <row r="18" spans="2:9" ht="16.5" thickBot="1"/>
    <row r="19" spans="2:9" ht="19.5" thickBot="1">
      <c r="B19" s="55" t="s">
        <v>13</v>
      </c>
      <c r="E19" s="137" t="s">
        <v>248</v>
      </c>
      <c r="F19" s="138"/>
      <c r="G19" s="138"/>
      <c r="H19" s="139"/>
      <c r="I19" s="59" t="s">
        <v>249</v>
      </c>
    </row>
    <row r="20" spans="2:9">
      <c r="E20" s="72">
        <v>2012</v>
      </c>
      <c r="F20" s="73">
        <v>2024</v>
      </c>
      <c r="G20" s="74">
        <v>2025</v>
      </c>
      <c r="H20" s="75">
        <v>2026</v>
      </c>
      <c r="I20" s="81">
        <v>46252</v>
      </c>
    </row>
    <row r="21" spans="2:9">
      <c r="B21" s="54" t="s">
        <v>232</v>
      </c>
      <c r="C21" s="129" t="s">
        <v>234</v>
      </c>
      <c r="D21" s="130"/>
      <c r="E21" s="76">
        <f>VLOOKUP($B$3,Base_lyc!$B$2:$BY$11,5,FALSE)</f>
        <v>1464</v>
      </c>
      <c r="F21" s="27">
        <f>VLOOKUP($B$3,Base_lyc!$B$2:$BY$11,7,FALSE)</f>
        <v>1132</v>
      </c>
      <c r="G21" s="41">
        <f>VLOOKUP($B$3,Base_lyc!$B$2:$BY$11,9,FALSE)</f>
        <v>1120</v>
      </c>
      <c r="H21" s="52">
        <f>VLOOKUP($B$3,Base_lyc!$B$2:$BY$11,11,FALSE)</f>
        <v>1065</v>
      </c>
      <c r="I21" s="76">
        <f>VLOOKUP($B$3,Base_lyc!$B$2:$BY$11,14,FALSE)</f>
        <v>1038</v>
      </c>
    </row>
    <row r="22" spans="2:9" s="40" customFormat="1" ht="16.5" thickBot="1">
      <c r="B22" s="54" t="s">
        <v>233</v>
      </c>
      <c r="C22" s="131" t="s">
        <v>235</v>
      </c>
      <c r="D22" s="132"/>
      <c r="E22" s="77">
        <f>VLOOKUP($B$3,Base_lyc!$B$2:$BY$11,6,FALSE)</f>
        <v>379</v>
      </c>
      <c r="F22" s="78">
        <f>VLOOKUP($B$3,Base_lyc!$B$2:$BY$11,8,FALSE)</f>
        <v>473</v>
      </c>
      <c r="G22" s="79">
        <f>VLOOKUP($B$3,Base_lyc!$B$2:$BY$11,10,FALSE)</f>
        <v>431</v>
      </c>
      <c r="H22" s="80">
        <f>VLOOKUP($B$3,Base_lyc!$B$2:$BY$11,12,FALSE)</f>
        <v>427</v>
      </c>
      <c r="I22" s="77">
        <f>VLOOKUP($B$3,Base_lyc!$B$2:$BY$11,15,FALSE)</f>
        <v>385</v>
      </c>
    </row>
    <row r="27" spans="2:9">
      <c r="C27" s="43">
        <v>2012</v>
      </c>
      <c r="D27" s="43">
        <f t="shared" ref="D27:F28" si="0">F20</f>
        <v>2024</v>
      </c>
      <c r="E27" s="43">
        <f t="shared" si="0"/>
        <v>2025</v>
      </c>
      <c r="F27" s="43">
        <f t="shared" si="0"/>
        <v>2026</v>
      </c>
    </row>
    <row r="28" spans="2:9">
      <c r="C28" s="39">
        <f>E21</f>
        <v>1464</v>
      </c>
      <c r="D28" s="39">
        <f t="shared" si="0"/>
        <v>1132</v>
      </c>
      <c r="E28" s="39">
        <f t="shared" si="0"/>
        <v>1120</v>
      </c>
      <c r="F28" s="39">
        <f t="shared" si="0"/>
        <v>1065</v>
      </c>
    </row>
    <row r="39" spans="2:9" ht="18.75">
      <c r="B39" s="56" t="s">
        <v>195</v>
      </c>
      <c r="C39" s="38"/>
      <c r="D39" s="38"/>
      <c r="E39" s="38"/>
      <c r="F39" s="38"/>
      <c r="G39" s="38"/>
      <c r="H39" s="38"/>
    </row>
    <row r="40" spans="2:9">
      <c r="F40" s="118" t="s">
        <v>251</v>
      </c>
      <c r="G40" s="118"/>
      <c r="H40" s="118"/>
      <c r="I40" s="118"/>
    </row>
    <row r="41" spans="2:9">
      <c r="F41" s="37" t="s">
        <v>14</v>
      </c>
      <c r="G41" s="121" t="str">
        <f>VLOOKUP(B3,Base_lyc!B2:BY11,2,FALSE)</f>
        <v>Public</v>
      </c>
      <c r="H41" s="122"/>
      <c r="I41" s="37" t="s">
        <v>184</v>
      </c>
    </row>
    <row r="42" spans="2:9">
      <c r="B42" s="47" t="s">
        <v>201</v>
      </c>
      <c r="F42" s="36">
        <f>VLOOKUP($B$3,Base_lyc!$B$2:$CI$11,16,FALSE)</f>
        <v>97.3</v>
      </c>
      <c r="G42" s="116">
        <f>VLOOKUP($B$3,Base_lyc!$B$2:$CI$11,17,FALSE)</f>
        <v>115.5</v>
      </c>
      <c r="H42" s="117"/>
      <c r="I42" s="36">
        <f>VLOOKUP($B$3,Base_lyc!$B$2:$CI$11,18,FALSE)</f>
        <v>110.6</v>
      </c>
    </row>
    <row r="43" spans="2:9">
      <c r="B43" s="47" t="s">
        <v>203</v>
      </c>
      <c r="F43" s="36">
        <f>VLOOKUP($B$3,Base_lyc!$B$2:$CI$11,19,FALSE)</f>
        <v>19</v>
      </c>
      <c r="G43" s="116">
        <f>VLOOKUP($B$3,Base_lyc!$B$2:$CI$11,20,FALSE)</f>
        <v>34.6</v>
      </c>
      <c r="H43" s="117"/>
      <c r="I43" s="36">
        <f>VLOOKUP($B$3,Base_lyc!$B$2:$CI$11,21,FALSE)</f>
        <v>33.5</v>
      </c>
    </row>
    <row r="44" spans="2:9">
      <c r="B44" s="47" t="s">
        <v>204</v>
      </c>
      <c r="F44" s="36">
        <f>VLOOKUP($B$3,Base_lyc!$B$2:$CI$11,22,FALSE)</f>
        <v>37.799999999999997</v>
      </c>
      <c r="G44" s="116">
        <f>VLOOKUP($B$3,Base_lyc!$B$2:$CI$11,23,FALSE)</f>
        <v>24.2</v>
      </c>
      <c r="H44" s="117"/>
      <c r="I44" s="36">
        <f>VLOOKUP($B$3,Base_lyc!$B$2:$CI$11,24,FALSE)</f>
        <v>25</v>
      </c>
    </row>
    <row r="45" spans="2:9">
      <c r="B45" s="47" t="s">
        <v>205</v>
      </c>
      <c r="F45" s="36">
        <f>VLOOKUP($B$3,Base_lyc!$B$2:$CI$11,25,FALSE)</f>
        <v>130.30000000000001</v>
      </c>
      <c r="G45" s="116">
        <f>VLOOKUP($B$3,Base_lyc!$B$2:$CI$11,26,FALSE)</f>
        <v>107</v>
      </c>
      <c r="H45" s="117"/>
      <c r="I45" s="36">
        <f>VLOOKUP($B$3,Base_lyc!$B$2:$CI$11,27,FALSE)</f>
        <v>108.7</v>
      </c>
    </row>
    <row r="46" spans="2:9">
      <c r="B46" s="47" t="s">
        <v>388</v>
      </c>
      <c r="F46" s="36">
        <f>VLOOKUP($B$3,Base_lyc!$BZ$2:$CC$11,2,FALSE)</f>
        <v>5</v>
      </c>
      <c r="G46" s="116">
        <f>VLOOKUP($B$3,Base_lyc!$BZ$2:$CC$11,3,FALSE)</f>
        <v>25.560747663551403</v>
      </c>
      <c r="H46" s="117"/>
      <c r="I46" s="36">
        <f>VLOOKUP($B$3,Base_lyc!$BZ$2:$CC$11,4,FALSE)</f>
        <v>23.5</v>
      </c>
    </row>
    <row r="47" spans="2:9">
      <c r="B47" s="47" t="s">
        <v>41</v>
      </c>
      <c r="F47" s="36">
        <f>VLOOKUP($B$3,Base_lyc!$B$2:$CI$11,28,FALSE)</f>
        <v>7.2</v>
      </c>
      <c r="G47" s="116">
        <f>VLOOKUP($B$3,Base_lyc!$B$2:$CI$11,29,FALSE)</f>
        <v>7.2</v>
      </c>
      <c r="H47" s="117"/>
      <c r="I47" s="36">
        <f>VLOOKUP($B$3,Base_lyc!$B$2:$CI$11,30,FALSE)</f>
        <v>6.5</v>
      </c>
    </row>
    <row r="48" spans="2:9">
      <c r="B48" s="57" t="s">
        <v>219</v>
      </c>
      <c r="F48" s="36">
        <f>VLOOKUP($B$3,Base_lyc!$B$2:$CI$11,81,FALSE)</f>
        <v>14.1</v>
      </c>
      <c r="G48" s="116">
        <f>VLOOKUP($B$3,Base_lyc!$B$2:$CI$11,82,FALSE)</f>
        <v>37.6</v>
      </c>
      <c r="H48" s="117"/>
      <c r="I48" s="36">
        <f>VLOOKUP($B$3,Base_lyc!$B$2:$CI$11,83,FALSE)</f>
        <v>35.700000000000003</v>
      </c>
    </row>
    <row r="49" spans="2:12">
      <c r="B49" s="35" t="s">
        <v>220</v>
      </c>
      <c r="F49" s="36">
        <f>VLOOKUP($B$3,Base_lyc!$B$2:$CI$11,84,FALSE)</f>
        <v>23.4</v>
      </c>
      <c r="G49" s="116">
        <f>VLOOKUP($B$3,Base_lyc!$B$2:$CI$11,85,FALSE)</f>
        <v>50.4</v>
      </c>
      <c r="H49" s="117"/>
      <c r="I49" s="36">
        <f>VLOOKUP($B$3,Base_lyc!$B$2:$CI$11,86,FALSE)</f>
        <v>48.2</v>
      </c>
    </row>
    <row r="50" spans="2:12">
      <c r="B50" s="60"/>
      <c r="J50" s="28"/>
      <c r="K50" s="28"/>
      <c r="L50" s="28"/>
    </row>
    <row r="52" spans="2:12" ht="18.75">
      <c r="B52" s="56" t="s">
        <v>0</v>
      </c>
    </row>
    <row r="53" spans="2:12">
      <c r="F53" s="118" t="s">
        <v>251</v>
      </c>
      <c r="G53" s="118"/>
      <c r="H53" s="118"/>
      <c r="I53" s="118"/>
    </row>
    <row r="54" spans="2:12">
      <c r="F54" s="61" t="s">
        <v>14</v>
      </c>
      <c r="G54" s="121" t="str">
        <f>VLOOKUP(B3,Base_lyc!B2:BY11,2,FALSE)</f>
        <v>Public</v>
      </c>
      <c r="H54" s="122"/>
      <c r="I54" s="37" t="s">
        <v>184</v>
      </c>
    </row>
    <row r="55" spans="2:12">
      <c r="B55" s="47" t="s">
        <v>17</v>
      </c>
      <c r="F55" s="119">
        <f>VLOOKUP($B$3,Base_lyc!$B$2:$CI$11,31,FALSE)</f>
        <v>1.56</v>
      </c>
      <c r="G55" s="133">
        <f>VLOOKUP($B$3,Base_lyc!$B$2:$CI$11,32,FALSE)</f>
        <v>1.73</v>
      </c>
      <c r="H55" s="134"/>
      <c r="I55" s="119">
        <f>VLOOKUP($B$3,Base_lyc!$B$2:$CI$11,33,FALSE)</f>
        <v>1.83</v>
      </c>
    </row>
    <row r="56" spans="2:12">
      <c r="B56" s="47" t="s">
        <v>254</v>
      </c>
      <c r="F56" s="120"/>
      <c r="G56" s="135"/>
      <c r="H56" s="136"/>
      <c r="I56" s="120"/>
    </row>
    <row r="57" spans="2:12">
      <c r="B57" s="47" t="s">
        <v>42</v>
      </c>
      <c r="F57" s="36">
        <f>VLOOKUP($B$3,Base_lyc!$B$2:$CI$11,34,FALSE)</f>
        <v>28</v>
      </c>
      <c r="G57" s="116">
        <f>VLOOKUP($B$3,Base_lyc!$B$2:$CI$11,35,FALSE)</f>
        <v>26.3</v>
      </c>
      <c r="H57" s="117"/>
      <c r="I57" s="93">
        <f>VLOOKUP($B$3,Base_lyc!$B$2:$CI$11,36,FALSE)</f>
        <v>26.4</v>
      </c>
    </row>
    <row r="58" spans="2:12">
      <c r="J58" s="28"/>
      <c r="K58" s="28"/>
      <c r="L58" s="28"/>
    </row>
    <row r="59" spans="2:12" ht="18.75">
      <c r="B59" s="56" t="s">
        <v>18</v>
      </c>
    </row>
    <row r="60" spans="2:12">
      <c r="F60" s="118" t="s">
        <v>251</v>
      </c>
      <c r="G60" s="118"/>
      <c r="H60" s="118"/>
      <c r="I60" s="118"/>
    </row>
    <row r="61" spans="2:12">
      <c r="F61" s="37" t="s">
        <v>14</v>
      </c>
      <c r="G61" s="121" t="str">
        <f>VLOOKUP(B3,Base_lyc!B2:BY11,2,FALSE)</f>
        <v>Public</v>
      </c>
      <c r="H61" s="122"/>
      <c r="I61" s="37" t="s">
        <v>184</v>
      </c>
    </row>
    <row r="62" spans="2:12">
      <c r="B62" s="47" t="s">
        <v>19</v>
      </c>
      <c r="F62" s="36">
        <f>VLOOKUP($B$3,Base_lyc!$B$2:$CI$11,65,FALSE)</f>
        <v>55.13</v>
      </c>
      <c r="G62" s="116">
        <f>VLOOKUP($B$3,Base_lyc!$B$2:$CI$11,66,FALSE)</f>
        <v>53.31</v>
      </c>
      <c r="H62" s="117"/>
      <c r="I62" s="36">
        <f>VLOOKUP($B$3,Base_lyc!$B$2:$CI$11,67,FALSE)</f>
        <v>53.31</v>
      </c>
    </row>
    <row r="63" spans="2:12">
      <c r="B63" s="47" t="s">
        <v>20</v>
      </c>
      <c r="F63" s="36">
        <f>VLOOKUP($B$3,Base_lyc!$B$2:$CI$11,68,FALSE)</f>
        <v>93.7</v>
      </c>
      <c r="G63" s="116">
        <f>VLOOKUP($B$3,Base_lyc!$B$2:$CI$11,69,FALSE)</f>
        <v>88.9</v>
      </c>
      <c r="H63" s="117"/>
      <c r="I63" s="36">
        <f>VLOOKUP($B$3,Base_lyc!$B$2:$CI$11,70,FALSE)</f>
        <v>86.3</v>
      </c>
    </row>
    <row r="64" spans="2:12">
      <c r="B64" s="47" t="s">
        <v>21</v>
      </c>
      <c r="F64" s="36">
        <f>VLOOKUP($B$3,Base_lyc!$B$2:$CI$11,71,FALSE)</f>
        <v>8.6</v>
      </c>
      <c r="G64" s="116">
        <f>VLOOKUP($B$3,Base_lyc!$B$2:$CI$11,72,FALSE)</f>
        <v>6.3</v>
      </c>
      <c r="H64" s="117"/>
      <c r="I64" s="36">
        <f>VLOOKUP($B$3,Base_lyc!$B$2:$CI$11,73,FALSE)</f>
        <v>6.8</v>
      </c>
    </row>
    <row r="65" spans="2:10">
      <c r="B65" s="47" t="s">
        <v>22</v>
      </c>
      <c r="F65" s="36">
        <f>VLOOKUP($B$3,Base_lyc!$B$2:$CI$11,74,FALSE)</f>
        <v>49.3</v>
      </c>
      <c r="G65" s="116">
        <f>VLOOKUP($B$3,Base_lyc!$B$2:$CI$11,75,FALSE)</f>
        <v>46.7</v>
      </c>
      <c r="H65" s="117"/>
      <c r="I65" s="36">
        <f>VLOOKUP($B$3,Base_lyc!$B$2:$CI$11,76,FALSE)</f>
        <v>47</v>
      </c>
    </row>
    <row r="69" spans="2:10" ht="18.75">
      <c r="B69" s="56" t="s">
        <v>5</v>
      </c>
    </row>
    <row r="70" spans="2:10">
      <c r="F70" s="118" t="s">
        <v>252</v>
      </c>
      <c r="G70" s="118"/>
      <c r="H70" s="118"/>
      <c r="I70" s="118"/>
    </row>
    <row r="71" spans="2:10">
      <c r="F71" s="37" t="s">
        <v>14</v>
      </c>
      <c r="G71" s="37" t="s">
        <v>8</v>
      </c>
      <c r="H71" s="37" t="str">
        <f>VLOOKUP(B3,Base_lyc!B2:BY11,2,FALSE)</f>
        <v>Public</v>
      </c>
      <c r="I71" s="37" t="s">
        <v>184</v>
      </c>
    </row>
    <row r="72" spans="2:10">
      <c r="B72" s="47" t="s">
        <v>186</v>
      </c>
      <c r="E72" s="62"/>
      <c r="F72" s="36">
        <f>VLOOKUP($B$3,Base_lyc!$B$2:$CI$11,37,FALSE)</f>
        <v>85.2</v>
      </c>
      <c r="G72" s="105" t="s">
        <v>10</v>
      </c>
      <c r="H72" s="36">
        <f>VLOOKUP($B$3,Base_lyc!$B$2:$CI$11,38,FALSE)</f>
        <v>82.2</v>
      </c>
      <c r="I72" s="36">
        <f>VLOOKUP($B$3,Base_lyc!$B$2:$CI$11,39,FALSE)</f>
        <v>81.7</v>
      </c>
    </row>
    <row r="73" spans="2:10">
      <c r="B73" s="47" t="s">
        <v>187</v>
      </c>
      <c r="E73" s="62"/>
      <c r="F73" s="36">
        <f>VLOOKUP($B$3,Base_lyc!$B$2:$CI$11,40,FALSE)</f>
        <v>1.6</v>
      </c>
      <c r="G73" s="105" t="s">
        <v>10</v>
      </c>
      <c r="H73" s="36">
        <f>VLOOKUP($B$3,Base_lyc!$B$2:$CI$11,41,FALSE)</f>
        <v>5.5</v>
      </c>
      <c r="I73" s="36">
        <f>VLOOKUP($B$3,Base_lyc!$B$2:$CI$11,42,FALSE)</f>
        <v>5.3</v>
      </c>
      <c r="J73" s="40"/>
    </row>
    <row r="74" spans="2:10">
      <c r="B74" s="47" t="s">
        <v>177</v>
      </c>
      <c r="E74" s="62"/>
      <c r="F74" s="36">
        <f>VLOOKUP($B$3,Base_lyc!$B$2:$CI$11,43,FALSE)</f>
        <v>1.8</v>
      </c>
      <c r="G74" s="105" t="s">
        <v>10</v>
      </c>
      <c r="H74" s="36">
        <f>VLOOKUP($B$3,Base_lyc!$B$2:$CI$11,44,FALSE)</f>
        <v>2.7</v>
      </c>
      <c r="I74" s="36">
        <f>VLOOKUP($B$3,Base_lyc!$B$2:$CI$11,45,FALSE)</f>
        <v>3.6</v>
      </c>
    </row>
    <row r="75" spans="2:10">
      <c r="B75" s="47" t="s">
        <v>44</v>
      </c>
      <c r="E75" s="62"/>
      <c r="F75" s="36">
        <f>VLOOKUP($B$3,Base_lyc!$B$2:$CI$11,46,FALSE)</f>
        <v>90</v>
      </c>
      <c r="G75" s="36" t="str">
        <f>VLOOKUP($B$3,Base_lyc!$B$2:$CI$11,47,FALSE)</f>
        <v>nd</v>
      </c>
      <c r="H75" s="36">
        <f>VLOOKUP($B$3,Base_lyc!$B$2:$CI$11,52,FALSE)</f>
        <v>77.900000000000006</v>
      </c>
      <c r="I75" s="36">
        <f>VLOOKUP($B$3,Base_lyc!$B$2:$CI$11,55,FALSE)</f>
        <v>78.400000000000006</v>
      </c>
    </row>
    <row r="76" spans="2:10">
      <c r="B76" s="47" t="s">
        <v>45</v>
      </c>
      <c r="E76" s="62"/>
      <c r="F76" s="36">
        <f>VLOOKUP($B$3,Base_lyc!$B$2:$CI$11,48,FALSE)</f>
        <v>93</v>
      </c>
      <c r="G76" s="36" t="str">
        <f>VLOOKUP($B$3,Base_lyc!$B$2:$CI$11,49,FALSE)</f>
        <v>nd</v>
      </c>
      <c r="H76" s="36">
        <f>VLOOKUP($B$3,Base_lyc!$B$2:$CI$11,53,FALSE)</f>
        <v>88.8</v>
      </c>
      <c r="I76" s="36">
        <f>VLOOKUP($B$3,Base_lyc!$B$2:$CI$11,56,FALSE)</f>
        <v>88.6</v>
      </c>
    </row>
    <row r="77" spans="2:10">
      <c r="B77" s="47" t="s">
        <v>46</v>
      </c>
      <c r="E77" s="62"/>
      <c r="F77" s="36">
        <f>VLOOKUP($B$3,Base_lyc!$B$2:$CI$11,50,FALSE)</f>
        <v>96</v>
      </c>
      <c r="G77" s="36" t="str">
        <f>VLOOKUP($B$3,Base_lyc!$B$2:$CI$11,51,FALSE)</f>
        <v>nd</v>
      </c>
      <c r="H77" s="36">
        <f>VLOOKUP($B$3,Base_lyc!$B$2:$CI$11,54,FALSE)</f>
        <v>93.1</v>
      </c>
      <c r="I77" s="36">
        <f>VLOOKUP($B$3,Base_lyc!$B$2:$CI$11,57,FALSE)</f>
        <v>93.4</v>
      </c>
    </row>
    <row r="79" spans="2:10" hidden="1">
      <c r="B79" s="34" t="s">
        <v>250</v>
      </c>
      <c r="C79" s="33"/>
      <c r="D79" s="33"/>
      <c r="E79" s="33"/>
      <c r="F79" s="33"/>
      <c r="G79" s="33"/>
      <c r="H79" s="33"/>
      <c r="I79" s="32" t="s">
        <v>9</v>
      </c>
    </row>
    <row r="80" spans="2:10" ht="21.75" hidden="1">
      <c r="B80" s="31" t="s">
        <v>2</v>
      </c>
      <c r="C80" s="123" t="s">
        <v>1</v>
      </c>
      <c r="D80" s="124"/>
      <c r="E80" s="125" t="s">
        <v>3</v>
      </c>
      <c r="F80" s="126"/>
      <c r="G80" s="127" t="s">
        <v>4</v>
      </c>
      <c r="H80" s="127"/>
      <c r="I80" s="128"/>
    </row>
    <row r="81" spans="2:25" hidden="1">
      <c r="J81" s="30">
        <v>-6.5</v>
      </c>
      <c r="K81" s="29" t="e">
        <f>VLOOKUP(B3,Base_lyc!B35:C44,4,FALSE)</f>
        <v>#REF!</v>
      </c>
      <c r="L81" s="30">
        <v>6.5</v>
      </c>
    </row>
    <row r="82" spans="2:25" hidden="1">
      <c r="J82" s="30">
        <v>0</v>
      </c>
      <c r="K82" s="30">
        <v>0</v>
      </c>
      <c r="L82" s="30">
        <v>0</v>
      </c>
    </row>
    <row r="84" spans="2:25" ht="18.75">
      <c r="B84" s="56" t="s">
        <v>7</v>
      </c>
    </row>
    <row r="85" spans="2:25">
      <c r="F85" s="118" t="s">
        <v>253</v>
      </c>
      <c r="G85" s="118"/>
      <c r="H85" s="118"/>
      <c r="I85" s="118"/>
      <c r="J85" s="63"/>
    </row>
    <row r="86" spans="2:25">
      <c r="F86" s="64" t="s">
        <v>14</v>
      </c>
      <c r="G86" s="61" t="s">
        <v>8</v>
      </c>
      <c r="H86" s="65" t="str">
        <f>VLOOKUP(B3,Base_lyc!B2:BY11,2,FALSE)</f>
        <v>Public</v>
      </c>
      <c r="I86" s="37" t="s">
        <v>184</v>
      </c>
    </row>
    <row r="87" spans="2:25">
      <c r="B87" s="47" t="s">
        <v>163</v>
      </c>
      <c r="E87" s="62"/>
      <c r="F87" s="36">
        <f>VLOOKUP($B$3,Base_lyc!$B$2:$CI$11,58,FALSE)</f>
        <v>94.8</v>
      </c>
      <c r="G87" s="36" t="str">
        <f>VLOOKUP($B$3,Base_lyc!$B$2:$CI$11,59,FALSE)</f>
        <v>nd</v>
      </c>
      <c r="H87" s="36">
        <f>VLOOKUP($B$3,Base_lyc!$B$2:$CI$11,60,FALSE)</f>
        <v>90.3</v>
      </c>
      <c r="I87" s="36">
        <f>VLOOKUP($B$3,Base_lyc!$B$2:$CI$11,61,FALSE)</f>
        <v>90.1</v>
      </c>
    </row>
    <row r="88" spans="2:25">
      <c r="B88" s="47" t="s">
        <v>43</v>
      </c>
      <c r="E88" s="62"/>
      <c r="F88" s="36">
        <f>VLOOKUP($B$3,Base_lyc!$B$2:$CI$11,62,FALSE)</f>
        <v>75.900000000000006</v>
      </c>
      <c r="G88" s="105" t="s">
        <v>10</v>
      </c>
      <c r="H88" s="36">
        <f>VLOOKUP($B$3,Base_lyc!$B$2:$CI$11,63,FALSE)</f>
        <v>69.7</v>
      </c>
      <c r="I88" s="36">
        <f>VLOOKUP($B$3,Base_lyc!$B$2:$CI$11,64,FALSE)</f>
        <v>68</v>
      </c>
    </row>
    <row r="91" spans="2:25" ht="18.75">
      <c r="B91" s="58" t="s">
        <v>6</v>
      </c>
    </row>
    <row r="92" spans="2:25">
      <c r="Y92" s="66"/>
    </row>
    <row r="95" spans="2:25">
      <c r="J95" s="43"/>
      <c r="K95" s="85"/>
      <c r="L95" s="85"/>
      <c r="M95" s="85"/>
      <c r="N95" s="85"/>
      <c r="O95" s="85"/>
      <c r="P95" s="86"/>
      <c r="Q95" s="87"/>
      <c r="R95" s="87"/>
      <c r="S95" s="88"/>
      <c r="T95" s="67"/>
      <c r="U95" s="62"/>
      <c r="V95" s="62"/>
    </row>
    <row r="96" spans="2:25">
      <c r="J96" s="43"/>
      <c r="K96" s="85"/>
      <c r="L96" s="88"/>
      <c r="M96" s="88"/>
      <c r="N96" s="88"/>
      <c r="O96" s="85"/>
      <c r="P96" s="86"/>
      <c r="Q96" s="88"/>
      <c r="R96" s="88"/>
      <c r="S96" s="88"/>
      <c r="T96" s="68"/>
      <c r="U96" s="62"/>
      <c r="V96" s="62"/>
    </row>
    <row r="97" spans="10:25">
      <c r="J97" s="82" t="s">
        <v>183</v>
      </c>
      <c r="K97" s="82"/>
      <c r="L97" s="82"/>
      <c r="M97" s="82"/>
      <c r="N97" s="82"/>
      <c r="O97" s="82"/>
      <c r="P97" s="82"/>
      <c r="Q97" s="82"/>
      <c r="R97" s="82"/>
      <c r="S97" s="82"/>
      <c r="T97" s="40"/>
      <c r="U97" s="40"/>
      <c r="V97" s="40"/>
    </row>
    <row r="98" spans="10:25" ht="63">
      <c r="J98" s="89" t="s">
        <v>6</v>
      </c>
      <c r="K98" s="90" t="s">
        <v>200</v>
      </c>
      <c r="L98" s="90" t="s">
        <v>194</v>
      </c>
      <c r="M98" s="90" t="s">
        <v>47</v>
      </c>
      <c r="N98" s="90" t="s">
        <v>29</v>
      </c>
      <c r="O98" s="88" t="s">
        <v>31</v>
      </c>
      <c r="P98" s="90" t="s">
        <v>30</v>
      </c>
      <c r="Q98" s="90" t="s">
        <v>48</v>
      </c>
      <c r="R98" s="90" t="s">
        <v>49</v>
      </c>
      <c r="S98" s="90" t="s">
        <v>167</v>
      </c>
      <c r="U98" s="69"/>
      <c r="V98" s="69"/>
      <c r="Y98" s="28"/>
    </row>
    <row r="99" spans="10:25">
      <c r="J99" s="82" t="s">
        <v>14</v>
      </c>
      <c r="K99" s="85">
        <f>VLOOKUP(B3,Base_lyc!B35:R44,3,FALSE)</f>
        <v>5</v>
      </c>
      <c r="L99" s="85">
        <f>VLOOKUP(B3,Base_lyc!B35:R44,4,FALSE)</f>
        <v>5</v>
      </c>
      <c r="M99" s="85">
        <f>VLOOKUP(B3,Base_lyc!B35:R44,5,FALSE)</f>
        <v>-1.25</v>
      </c>
      <c r="N99" s="85">
        <f>VLOOKUP(B3,Base_lyc!B35:R44,6,FALSE)</f>
        <v>-4.3548390000000001</v>
      </c>
      <c r="O99" s="85">
        <f>VLOOKUP(B3,Base_lyc!B35:R44,7,FALSE)</f>
        <v>-2.5806450000000001</v>
      </c>
      <c r="P99" s="85">
        <f>VLOOKUP(B3,Base_lyc!B35:R44,11,FALSE)</f>
        <v>4.8684209999999997</v>
      </c>
      <c r="Q99" s="85">
        <f>VLOOKUP(B3,Base_lyc!B35:R44,8,FALSE)</f>
        <v>2.1604939999999999</v>
      </c>
      <c r="R99" s="85">
        <f>VLOOKUP(B3,Base_lyc!B35:R44,9,FALSE)</f>
        <v>2.5</v>
      </c>
      <c r="S99" s="85">
        <f>VLOOKUP(B3,Base_lyc!B35:R44,10,FALSE)</f>
        <v>2.7976190000000001</v>
      </c>
      <c r="U99" s="68"/>
      <c r="V99" s="68"/>
      <c r="Y99" s="62"/>
    </row>
    <row r="100" spans="10:25">
      <c r="J100" s="82" t="s">
        <v>184</v>
      </c>
      <c r="K100" s="88">
        <v>0</v>
      </c>
      <c r="L100" s="88">
        <v>0</v>
      </c>
      <c r="M100" s="88">
        <v>0</v>
      </c>
      <c r="N100" s="88">
        <v>0</v>
      </c>
      <c r="O100" s="88">
        <v>0</v>
      </c>
      <c r="P100" s="88">
        <v>0</v>
      </c>
      <c r="Q100" s="88">
        <v>0</v>
      </c>
      <c r="R100" s="88">
        <v>0</v>
      </c>
      <c r="S100" s="88">
        <v>0</v>
      </c>
      <c r="U100" s="68"/>
      <c r="V100" s="68"/>
    </row>
    <row r="101" spans="10:25">
      <c r="J101" s="43"/>
      <c r="K101" s="43"/>
      <c r="L101" s="43"/>
      <c r="M101" s="43"/>
      <c r="N101" s="43"/>
      <c r="O101" s="43"/>
      <c r="P101" s="43"/>
      <c r="Q101" s="43"/>
      <c r="R101" s="43"/>
      <c r="S101" s="43"/>
    </row>
    <row r="102" spans="10:25">
      <c r="J102" s="43"/>
      <c r="K102" s="43"/>
      <c r="L102" s="43"/>
      <c r="M102" s="43"/>
      <c r="N102" s="43"/>
      <c r="O102" s="43"/>
      <c r="P102" s="43"/>
      <c r="Q102" s="43"/>
      <c r="R102" s="43"/>
      <c r="S102" s="43"/>
    </row>
    <row r="103" spans="10:25">
      <c r="J103" s="43"/>
      <c r="K103" s="43"/>
      <c r="L103" s="43"/>
      <c r="M103" s="43"/>
      <c r="N103" s="43"/>
      <c r="O103" s="43"/>
      <c r="P103" s="43"/>
      <c r="Q103" s="43"/>
      <c r="R103" s="43"/>
      <c r="S103" s="43"/>
    </row>
    <row r="104" spans="10:25">
      <c r="J104" s="43"/>
      <c r="K104" s="43"/>
      <c r="L104" s="43"/>
      <c r="M104" s="43"/>
      <c r="N104" s="43"/>
      <c r="O104" s="43"/>
      <c r="P104" s="43"/>
      <c r="Q104" s="43"/>
      <c r="R104" s="43"/>
      <c r="S104" s="43"/>
    </row>
    <row r="105" spans="10:25">
      <c r="J105" s="43"/>
      <c r="K105" s="43"/>
      <c r="L105" s="43"/>
      <c r="M105" s="43"/>
      <c r="N105" s="43"/>
      <c r="O105" s="43"/>
      <c r="P105" s="43"/>
      <c r="Q105" s="43"/>
      <c r="R105" s="43"/>
      <c r="S105" s="43"/>
    </row>
    <row r="106" spans="10:25">
      <c r="J106" s="43"/>
      <c r="K106" s="43"/>
      <c r="L106" s="43"/>
      <c r="M106" s="43"/>
      <c r="N106" s="43"/>
      <c r="O106" s="43"/>
      <c r="P106" s="43"/>
      <c r="Q106" s="43"/>
      <c r="R106" s="43"/>
      <c r="S106" s="43"/>
    </row>
    <row r="110" spans="10:25">
      <c r="K110" s="28"/>
      <c r="L110" s="28"/>
      <c r="M110" s="28"/>
      <c r="N110" s="28"/>
      <c r="O110" s="28"/>
      <c r="P110" s="28"/>
      <c r="Q110" s="28"/>
      <c r="R110" s="28"/>
      <c r="S110" s="28"/>
      <c r="T110" s="28"/>
    </row>
    <row r="111" spans="10:25">
      <c r="K111" s="28"/>
      <c r="L111" s="28"/>
      <c r="M111" s="28"/>
      <c r="N111" s="28"/>
      <c r="O111" s="28"/>
      <c r="P111" s="28"/>
      <c r="Q111" s="28"/>
      <c r="R111" s="28"/>
      <c r="S111" s="28"/>
      <c r="T111" s="28"/>
    </row>
    <row r="112" spans="10:25">
      <c r="K112" s="28"/>
      <c r="L112" s="28"/>
      <c r="M112" s="28"/>
      <c r="N112" s="28"/>
      <c r="O112" s="28"/>
      <c r="P112" s="28"/>
      <c r="Q112" s="28"/>
      <c r="R112" s="28"/>
      <c r="S112" s="28"/>
      <c r="T112" s="28"/>
    </row>
    <row r="113" spans="11:22">
      <c r="K113" s="28"/>
      <c r="L113" s="28"/>
      <c r="M113" s="28"/>
      <c r="N113" s="28"/>
      <c r="O113" s="28"/>
      <c r="P113" s="28"/>
      <c r="Q113" s="28"/>
      <c r="R113" s="28"/>
      <c r="S113" s="28"/>
      <c r="T113" s="70"/>
    </row>
    <row r="114" spans="11:22">
      <c r="K114" s="28"/>
      <c r="L114" s="28"/>
      <c r="M114" s="28"/>
      <c r="N114" s="28"/>
      <c r="O114" s="28"/>
      <c r="P114" s="28"/>
      <c r="Q114" s="28"/>
      <c r="R114" s="28"/>
      <c r="S114" s="28"/>
      <c r="T114" s="70"/>
    </row>
    <row r="115" spans="11:22"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</row>
    <row r="116" spans="11:22"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</row>
    <row r="117" spans="11:22"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</row>
    <row r="118" spans="11:22">
      <c r="K118" s="28"/>
      <c r="L118" s="28"/>
      <c r="M118" s="28"/>
      <c r="N118" s="28"/>
      <c r="O118" s="28"/>
      <c r="P118" s="28"/>
      <c r="Q118" s="28"/>
      <c r="R118" s="28"/>
      <c r="S118" s="28"/>
      <c r="T118" s="70"/>
      <c r="U118" s="28"/>
      <c r="V118" s="28"/>
    </row>
    <row r="119" spans="11:22">
      <c r="K119" s="28"/>
      <c r="L119" s="28"/>
      <c r="M119" s="28"/>
      <c r="N119" s="28"/>
      <c r="O119" s="28"/>
      <c r="P119" s="28"/>
      <c r="Q119" s="28"/>
      <c r="R119" s="28"/>
      <c r="S119" s="70"/>
      <c r="T119" s="70"/>
      <c r="U119" s="28"/>
      <c r="V119" s="28"/>
    </row>
    <row r="120" spans="11:22"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</row>
    <row r="121" spans="11:22"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</row>
    <row r="122" spans="11:22"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</row>
    <row r="123" spans="11:22"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</row>
    <row r="124" spans="11:22"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</row>
    <row r="125" spans="11:22"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</row>
    <row r="126" spans="11:22"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71"/>
      <c r="V126" s="71"/>
    </row>
  </sheetData>
  <mergeCells count="31">
    <mergeCell ref="E19:H19"/>
    <mergeCell ref="B1:I1"/>
    <mergeCell ref="F40:I40"/>
    <mergeCell ref="G41:H41"/>
    <mergeCell ref="G42:H42"/>
    <mergeCell ref="G48:H48"/>
    <mergeCell ref="G49:H49"/>
    <mergeCell ref="C21:D21"/>
    <mergeCell ref="C22:D22"/>
    <mergeCell ref="G62:H62"/>
    <mergeCell ref="G55:H56"/>
    <mergeCell ref="G57:H57"/>
    <mergeCell ref="F60:I60"/>
    <mergeCell ref="G43:H43"/>
    <mergeCell ref="G44:H44"/>
    <mergeCell ref="G45:H45"/>
    <mergeCell ref="G47:H47"/>
    <mergeCell ref="G46:H46"/>
    <mergeCell ref="F85:I85"/>
    <mergeCell ref="F70:I70"/>
    <mergeCell ref="C80:D80"/>
    <mergeCell ref="E80:F80"/>
    <mergeCell ref="G80:I80"/>
    <mergeCell ref="G65:H65"/>
    <mergeCell ref="G63:H63"/>
    <mergeCell ref="G64:H64"/>
    <mergeCell ref="F53:I53"/>
    <mergeCell ref="F55:F56"/>
    <mergeCell ref="I55:I56"/>
    <mergeCell ref="G54:H54"/>
    <mergeCell ref="G61:H61"/>
  </mergeCells>
  <hyperlinks>
    <hyperlink ref="C13" r:id="rId1" xr:uid="{00000000-0004-0000-0000-000000000000}"/>
  </hyperlinks>
  <pageMargins left="0.23622047244094491" right="0.23622047244094491" top="0.35433070866141736" bottom="0.35433070866141736" header="0.31496062992125984" footer="0.31496062992125984"/>
  <pageSetup paperSize="9" scale="87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Base_lyc!$A$2:$A$11</xm:f>
          </x14:formula1>
          <xm:sqref>B1:I1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B1:Y125"/>
  <sheetViews>
    <sheetView workbookViewId="0">
      <selection activeCell="B1" sqref="B1:I1"/>
    </sheetView>
  </sheetViews>
  <sheetFormatPr baseColWidth="10" defaultColWidth="11.42578125" defaultRowHeight="15.75"/>
  <cols>
    <col min="1" max="1" width="4.7109375" style="47" customWidth="1"/>
    <col min="2" max="2" width="19.7109375" style="47" customWidth="1"/>
    <col min="3" max="3" width="11.42578125" style="47"/>
    <col min="4" max="4" width="13.42578125" style="47" customWidth="1"/>
    <col min="5" max="5" width="16" style="47" customWidth="1"/>
    <col min="6" max="6" width="13.5703125" style="47" customWidth="1"/>
    <col min="7" max="8" width="7.140625" style="47" customWidth="1"/>
    <col min="9" max="9" width="13.5703125" style="47" customWidth="1"/>
    <col min="10" max="16384" width="11.42578125" style="47"/>
  </cols>
  <sheetData>
    <row r="1" spans="2:18" ht="18.75">
      <c r="B1" s="140" t="s">
        <v>121</v>
      </c>
      <c r="C1" s="140"/>
      <c r="D1" s="140"/>
      <c r="E1" s="140"/>
      <c r="F1" s="140"/>
      <c r="G1" s="140"/>
      <c r="H1" s="140"/>
      <c r="I1" s="140"/>
      <c r="K1" s="46" t="s">
        <v>185</v>
      </c>
      <c r="L1" s="45"/>
      <c r="M1" s="45"/>
      <c r="N1" s="45"/>
      <c r="O1" s="45"/>
      <c r="P1" s="45"/>
      <c r="Q1" s="45"/>
      <c r="R1" s="44"/>
    </row>
    <row r="3" spans="2:18" ht="18">
      <c r="B3" s="47" t="str">
        <f>VLOOKUP(B1,Base_lyc!A15:B29,2,FALSE)</f>
        <v>9830006P</v>
      </c>
      <c r="D3" s="42"/>
      <c r="E3" s="47" t="s">
        <v>28</v>
      </c>
      <c r="F3" s="53" t="str">
        <f>VLOOKUP(B3,Base_lyc!B15:D29,3,FALSE)</f>
        <v>Nouméa</v>
      </c>
    </row>
    <row r="6" spans="2:18" ht="3" customHeight="1"/>
    <row r="7" spans="2:18" ht="18.75" hidden="1">
      <c r="B7" s="48" t="s">
        <v>16</v>
      </c>
      <c r="C7" s="48"/>
      <c r="D7" s="48"/>
      <c r="E7" s="48"/>
      <c r="F7" s="48"/>
      <c r="G7" s="48"/>
      <c r="H7" s="48"/>
    </row>
    <row r="8" spans="2:18" hidden="1"/>
    <row r="9" spans="2:18" hidden="1">
      <c r="B9" s="47" t="s">
        <v>28</v>
      </c>
      <c r="C9" s="47" t="s">
        <v>26</v>
      </c>
      <c r="E9" s="51" t="s">
        <v>38</v>
      </c>
      <c r="G9" s="47" t="s">
        <v>37</v>
      </c>
    </row>
    <row r="10" spans="2:18" hidden="1">
      <c r="B10" s="47" t="s">
        <v>27</v>
      </c>
      <c r="C10" s="47" t="s">
        <v>33</v>
      </c>
      <c r="E10" s="51" t="s">
        <v>39</v>
      </c>
    </row>
    <row r="11" spans="2:18" hidden="1">
      <c r="B11" s="47" t="s">
        <v>23</v>
      </c>
      <c r="C11" s="47" t="s">
        <v>34</v>
      </c>
      <c r="E11" s="50" t="s">
        <v>40</v>
      </c>
    </row>
    <row r="12" spans="2:18" hidden="1">
      <c r="B12" s="47" t="s">
        <v>24</v>
      </c>
      <c r="C12" s="47" t="s">
        <v>35</v>
      </c>
      <c r="E12" s="50" t="s">
        <v>11</v>
      </c>
    </row>
    <row r="13" spans="2:18" hidden="1">
      <c r="B13" s="47" t="s">
        <v>25</v>
      </c>
      <c r="C13" s="49" t="s">
        <v>36</v>
      </c>
      <c r="E13" s="50"/>
    </row>
    <row r="14" spans="2:18" hidden="1">
      <c r="E14" s="50" t="s">
        <v>12</v>
      </c>
    </row>
    <row r="16" spans="2:18" ht="16.5" thickBot="1"/>
    <row r="17" spans="2:9" ht="19.5" thickBot="1">
      <c r="B17" s="55" t="s">
        <v>13</v>
      </c>
      <c r="D17" s="137" t="s">
        <v>248</v>
      </c>
      <c r="E17" s="138"/>
      <c r="F17" s="138"/>
      <c r="G17" s="138"/>
      <c r="H17" s="139"/>
      <c r="I17" s="59" t="s">
        <v>249</v>
      </c>
    </row>
    <row r="18" spans="2:9">
      <c r="D18" s="112">
        <v>2012</v>
      </c>
      <c r="E18" s="113">
        <v>2024</v>
      </c>
      <c r="F18" s="114">
        <v>2025</v>
      </c>
      <c r="G18" s="142">
        <v>2026</v>
      </c>
      <c r="H18" s="143"/>
      <c r="I18" s="115" t="s">
        <v>387</v>
      </c>
    </row>
    <row r="19" spans="2:9">
      <c r="B19" s="47" t="s">
        <v>243</v>
      </c>
      <c r="C19" s="43" t="s">
        <v>246</v>
      </c>
      <c r="D19" s="76">
        <f>VLOOKUP($B$3,Base_lyc!$B$15:$BM$29,5,FALSE)</f>
        <v>1185</v>
      </c>
      <c r="E19" s="27">
        <f>VLOOKUP($B$3,Base_lyc!$B$15:$BM$29,7,FALSE)</f>
        <v>945</v>
      </c>
      <c r="F19" s="109">
        <f>VLOOKUP($B$3,Base_lyc!$B$15:$BM$29,9,FALSE)</f>
        <v>1034</v>
      </c>
      <c r="G19" s="144">
        <f>VLOOKUP($B$3,Base_lyc!$B$15:$BM$29,11,FALSE)</f>
        <v>996</v>
      </c>
      <c r="H19" s="145"/>
      <c r="I19" s="76">
        <f>VLOOKUP($B$3,Base_lyc!$B$15:$BM$29,13,FALSE)</f>
        <v>1000</v>
      </c>
    </row>
    <row r="20" spans="2:9" s="40" customFormat="1" ht="16.5" thickBot="1">
      <c r="B20" s="40" t="s">
        <v>235</v>
      </c>
      <c r="C20" s="82" t="s">
        <v>233</v>
      </c>
      <c r="D20" s="77" t="str">
        <f>VLOOKUP($B$3,Base_lyc!$B$15:$BM$29,6,FALSE)</f>
        <v>-</v>
      </c>
      <c r="E20" s="78">
        <f>VLOOKUP($B$3,Base_lyc!$B$15:$BM$29,8,FALSE)</f>
        <v>115</v>
      </c>
      <c r="F20" s="110">
        <f>VLOOKUP($B$3,Base_lyc!$B$15:$BM$29,10,FALSE)</f>
        <v>118</v>
      </c>
      <c r="G20" s="146">
        <f>VLOOKUP($B$3,Base_lyc!$B$15:$BM$29,12,FALSE)</f>
        <v>104</v>
      </c>
      <c r="H20" s="147"/>
      <c r="I20" s="77">
        <f>VLOOKUP($B$3,Base_lyc!$B$15:$BM$29,15,FALSE)</f>
        <v>106</v>
      </c>
    </row>
    <row r="21" spans="2:9">
      <c r="C21" s="43"/>
      <c r="G21" s="141"/>
      <c r="H21" s="141"/>
    </row>
    <row r="24" spans="2:9">
      <c r="D24" s="47">
        <f t="shared" ref="D24:G25" si="0">D18</f>
        <v>2012</v>
      </c>
      <c r="E24" s="47">
        <f t="shared" si="0"/>
        <v>2024</v>
      </c>
      <c r="F24" s="47">
        <f t="shared" si="0"/>
        <v>2025</v>
      </c>
      <c r="G24" s="47">
        <f t="shared" si="0"/>
        <v>2026</v>
      </c>
    </row>
    <row r="25" spans="2:9">
      <c r="D25" s="47">
        <f t="shared" si="0"/>
        <v>1185</v>
      </c>
      <c r="E25" s="47">
        <f t="shared" si="0"/>
        <v>945</v>
      </c>
      <c r="F25" s="47">
        <f t="shared" si="0"/>
        <v>1034</v>
      </c>
      <c r="G25" s="47">
        <f t="shared" si="0"/>
        <v>996</v>
      </c>
    </row>
    <row r="36" spans="2:9" ht="18.75">
      <c r="B36" s="56" t="s">
        <v>195</v>
      </c>
      <c r="C36" s="38"/>
      <c r="D36" s="38"/>
      <c r="E36" s="38"/>
      <c r="F36" s="38"/>
      <c r="G36" s="38"/>
      <c r="H36" s="38"/>
    </row>
    <row r="37" spans="2:9">
      <c r="F37" s="118" t="s">
        <v>251</v>
      </c>
      <c r="G37" s="118"/>
      <c r="H37" s="118"/>
      <c r="I37" s="118"/>
    </row>
    <row r="38" spans="2:9">
      <c r="F38" s="37" t="s">
        <v>14</v>
      </c>
      <c r="G38" s="121" t="str">
        <f>VLOOKUP(B3,Base_lyc!B15:C29,2,FALSE)</f>
        <v>Public</v>
      </c>
      <c r="H38" s="122"/>
      <c r="I38" s="37" t="s">
        <v>184</v>
      </c>
    </row>
    <row r="39" spans="2:9">
      <c r="B39" s="47" t="s">
        <v>201</v>
      </c>
      <c r="F39" s="36">
        <f>VLOOKUP($B$3,Base_lyc!$B$15:$CI$29,16,FALSE)</f>
        <v>97.3</v>
      </c>
      <c r="G39" s="116">
        <f>VLOOKUP($B$3,Base_lyc!$B$15:$CI$29,17,FALSE)</f>
        <v>115.7</v>
      </c>
      <c r="H39" s="117"/>
      <c r="I39" s="36">
        <f>VLOOKUP($B$3,Base_lyc!$B$15:$CI$29,18,FALSE)</f>
        <v>117.7</v>
      </c>
    </row>
    <row r="40" spans="2:9">
      <c r="B40" s="47" t="s">
        <v>203</v>
      </c>
      <c r="F40" s="36">
        <f>VLOOKUP($B$3,Base_lyc!$B$15:$CI$29,19,FALSE)</f>
        <v>60.7</v>
      </c>
      <c r="G40" s="116">
        <f>VLOOKUP($B$3,Base_lyc!$B$15:$CI$29,20,FALSE)</f>
        <v>61.5</v>
      </c>
      <c r="H40" s="117"/>
      <c r="I40" s="36">
        <f>VLOOKUP($B$3,Base_lyc!$B$15:$CI$29,21,FALSE)</f>
        <v>59.9</v>
      </c>
    </row>
    <row r="41" spans="2:9">
      <c r="B41" s="47" t="s">
        <v>204</v>
      </c>
      <c r="F41" s="36">
        <f>VLOOKUP($B$3,Base_lyc!$B$15:$CI$29,22,FALSE)</f>
        <v>5.6</v>
      </c>
      <c r="G41" s="116">
        <f>VLOOKUP($B$3,Base_lyc!$B$15:$CI$29,23,FALSE)</f>
        <v>5.7</v>
      </c>
      <c r="H41" s="117"/>
      <c r="I41" s="36">
        <f>VLOOKUP($B$3,Base_lyc!$B$15:$CI$29,24,FALSE)</f>
        <v>6.6</v>
      </c>
    </row>
    <row r="42" spans="2:9">
      <c r="B42" s="47" t="s">
        <v>206</v>
      </c>
      <c r="F42" s="36">
        <f>VLOOKUP($B$3,Base_lyc!$B$15:$CI$29,25,FALSE)</f>
        <v>81</v>
      </c>
      <c r="G42" s="116">
        <f>VLOOKUP($B$3,Base_lyc!$B$15:$CI$29,26,FALSE)</f>
        <v>79.8</v>
      </c>
      <c r="H42" s="117"/>
      <c r="I42" s="36">
        <f>VLOOKUP($B$3,Base_lyc!$B$15:$CI$29,27,FALSE)</f>
        <v>81.7</v>
      </c>
    </row>
    <row r="43" spans="2:9">
      <c r="B43" s="47" t="s">
        <v>389</v>
      </c>
      <c r="F43" s="36">
        <f>VLOOKUP($B$3,Base_lyc!$BZ$15:$CC$29,2,FALSE)</f>
        <v>38.309859154929576</v>
      </c>
      <c r="G43" s="116">
        <f>VLOOKUP($B$3,Base_lyc!$BZ$15:$CC$29,3,FALSE)</f>
        <v>45.00991407799075</v>
      </c>
      <c r="H43" s="117"/>
      <c r="I43" s="36">
        <f>VLOOKUP($B$3,Base_lyc!$BZ$15:$CC$29,4,FALSE)</f>
        <v>44.6</v>
      </c>
    </row>
    <row r="44" spans="2:9">
      <c r="B44" s="47" t="s">
        <v>149</v>
      </c>
      <c r="F44" s="36">
        <f>VLOOKUP($B$3,Base_lyc!$B$15:$CI$29,28,FALSE)</f>
        <v>15.8</v>
      </c>
      <c r="G44" s="116">
        <f>VLOOKUP($B$3,Base_lyc!$B$15:$CI$29,29,FALSE)</f>
        <v>17.3</v>
      </c>
      <c r="H44" s="117"/>
      <c r="I44" s="36">
        <f>VLOOKUP($B$3,Base_lyc!$B$15:$CI$29,30,FALSE)</f>
        <v>18</v>
      </c>
    </row>
    <row r="45" spans="2:9">
      <c r="B45" s="57" t="s">
        <v>221</v>
      </c>
      <c r="F45" s="36">
        <f>VLOOKUP($B$3,Base_lyc!$B$15:$CI$29,81,FALSE)</f>
        <v>76.8</v>
      </c>
      <c r="G45" s="116">
        <f>VLOOKUP($B$3,Base_lyc!$B$15:$CI$29,82,FALSE)</f>
        <v>80.099999999999994</v>
      </c>
      <c r="H45" s="117"/>
      <c r="I45" s="36">
        <f>VLOOKUP($B$3,Base_lyc!$B$15:$CI$29,83,FALSE)</f>
        <v>81.099999999999994</v>
      </c>
    </row>
    <row r="46" spans="2:9">
      <c r="B46" s="35" t="s">
        <v>222</v>
      </c>
      <c r="F46" s="36">
        <f>VLOOKUP($B$3,Base_lyc!$B$15:$CI$29,84,FALSE)</f>
        <v>92.3</v>
      </c>
      <c r="G46" s="116">
        <f>VLOOKUP($B$3,Base_lyc!$B$15:$CI$29,85,FALSE)</f>
        <v>90.1</v>
      </c>
      <c r="H46" s="117"/>
      <c r="I46" s="36">
        <f>VLOOKUP($B$3,Base_lyc!$B$15:$CI$29,86,FALSE)</f>
        <v>91.5</v>
      </c>
    </row>
    <row r="47" spans="2:9">
      <c r="F47" s="83"/>
      <c r="G47" s="83"/>
      <c r="H47" s="83"/>
      <c r="I47" s="83"/>
    </row>
    <row r="49" spans="2:9" ht="18.75">
      <c r="B49" s="56" t="s">
        <v>0</v>
      </c>
    </row>
    <row r="50" spans="2:9">
      <c r="F50" s="118" t="s">
        <v>251</v>
      </c>
      <c r="G50" s="118"/>
      <c r="H50" s="118"/>
      <c r="I50" s="118"/>
    </row>
    <row r="51" spans="2:9">
      <c r="F51" s="61" t="s">
        <v>14</v>
      </c>
      <c r="G51" s="121" t="str">
        <f>VLOOKUP(B3,Base_lyc!B15:C29,2,FALSE)</f>
        <v>Public</v>
      </c>
      <c r="H51" s="122"/>
      <c r="I51" s="37" t="s">
        <v>184</v>
      </c>
    </row>
    <row r="52" spans="2:9">
      <c r="B52" s="47" t="s">
        <v>17</v>
      </c>
      <c r="F52" s="119">
        <f>VLOOKUP($B$3,Base_lyc!$B$15:$CI$29,31,FALSE)</f>
        <v>2.79</v>
      </c>
      <c r="G52" s="133">
        <f>VLOOKUP($B$3,Base_lyc!$B$15:$CI$29,32,FALSE)</f>
        <v>2.97</v>
      </c>
      <c r="H52" s="134"/>
      <c r="I52" s="119">
        <f>VLOOKUP($B$3,Base_lyc!$B$15:$CI$29,33,FALSE)</f>
        <v>3.15</v>
      </c>
    </row>
    <row r="53" spans="2:9">
      <c r="B53" s="47" t="s">
        <v>150</v>
      </c>
      <c r="F53" s="120"/>
      <c r="G53" s="135"/>
      <c r="H53" s="136"/>
      <c r="I53" s="120"/>
    </row>
    <row r="54" spans="2:9">
      <c r="B54" s="47" t="s">
        <v>217</v>
      </c>
      <c r="F54" s="36">
        <f>VLOOKUP($B$3,Base_lyc!$B$15:$CI$29,34,FALSE)</f>
        <v>25.7</v>
      </c>
      <c r="G54" s="116">
        <f>VLOOKUP($B$3,Base_lyc!$B$15:$CI$29,35,FALSE)</f>
        <v>21.1</v>
      </c>
      <c r="H54" s="117"/>
      <c r="I54" s="108">
        <f>VLOOKUP($B$3,Base_lyc!$B$15:$CI$29,36,FALSE)</f>
        <v>21.4</v>
      </c>
    </row>
    <row r="55" spans="2:9">
      <c r="F55" s="84"/>
      <c r="G55" s="84"/>
      <c r="H55" s="84"/>
      <c r="I55" s="84"/>
    </row>
    <row r="56" spans="2:9" ht="18.75">
      <c r="B56" s="56" t="s">
        <v>18</v>
      </c>
    </row>
    <row r="57" spans="2:9">
      <c r="F57" s="118" t="s">
        <v>251</v>
      </c>
      <c r="G57" s="118"/>
      <c r="H57" s="118"/>
      <c r="I57" s="118"/>
    </row>
    <row r="58" spans="2:9">
      <c r="F58" s="37" t="s">
        <v>14</v>
      </c>
      <c r="G58" s="121" t="str">
        <f>VLOOKUP(B3,Base_lyc!B15:C29,2,FALSE)</f>
        <v>Public</v>
      </c>
      <c r="H58" s="122"/>
      <c r="I58" s="37" t="s">
        <v>184</v>
      </c>
    </row>
    <row r="59" spans="2:9">
      <c r="B59" s="47" t="s">
        <v>19</v>
      </c>
      <c r="F59" s="36">
        <f>VLOOKUP($B$3,Base_lyc!$B$15:$CI$29,65,FALSE)</f>
        <v>48.94</v>
      </c>
      <c r="G59" s="116">
        <f>VLOOKUP($B$3,Base_lyc!$B$15:$CI$29,66,FALSE)</f>
        <v>53.31</v>
      </c>
      <c r="H59" s="117"/>
      <c r="I59" s="36">
        <f>VLOOKUP($B$3,Base_lyc!$B$15:$CI$29,67,FALSE)</f>
        <v>53.31</v>
      </c>
    </row>
    <row r="60" spans="2:9">
      <c r="B60" s="47" t="s">
        <v>20</v>
      </c>
      <c r="F60" s="36">
        <f>VLOOKUP($B$3,Base_lyc!$B$15:$CI$29,68,FALSE)</f>
        <v>90.7</v>
      </c>
      <c r="G60" s="116">
        <f>VLOOKUP($B$3,Base_lyc!$B$15:$CI$29,69,FALSE)</f>
        <v>89.3</v>
      </c>
      <c r="H60" s="117"/>
      <c r="I60" s="36">
        <f>VLOOKUP($B$3,Base_lyc!$B$15:$CI$29,70,FALSE)</f>
        <v>79.400000000000006</v>
      </c>
    </row>
    <row r="61" spans="2:9">
      <c r="B61" s="47" t="s">
        <v>21</v>
      </c>
      <c r="F61" s="36">
        <f>VLOOKUP($B$3,Base_lyc!$B$15:$CI$29,71,FALSE)</f>
        <v>9</v>
      </c>
      <c r="G61" s="116">
        <f>VLOOKUP($B$3,Base_lyc!$B$15:$CI$29,72,FALSE)</f>
        <v>6.3</v>
      </c>
      <c r="H61" s="117"/>
      <c r="I61" s="36">
        <f>VLOOKUP($B$3,Base_lyc!$B$15:$CI$29,73,FALSE)</f>
        <v>7.1</v>
      </c>
    </row>
    <row r="62" spans="2:9">
      <c r="B62" s="47" t="s">
        <v>22</v>
      </c>
      <c r="F62" s="36">
        <f>VLOOKUP($B$3,Base_lyc!$B$15:$CI$29,74,FALSE)</f>
        <v>48.8</v>
      </c>
      <c r="G62" s="116">
        <f>VLOOKUP($B$3,Base_lyc!$B$15:$CI$29,75,FALSE)</f>
        <v>46.7</v>
      </c>
      <c r="H62" s="117"/>
      <c r="I62" s="36">
        <f>VLOOKUP($B$3,Base_lyc!$B$15:$CI$29,76,FALSE)</f>
        <v>47.1</v>
      </c>
    </row>
    <row r="65" spans="2:12" ht="18.75">
      <c r="B65" s="56" t="s">
        <v>5</v>
      </c>
    </row>
    <row r="66" spans="2:12">
      <c r="F66" s="118" t="s">
        <v>252</v>
      </c>
      <c r="G66" s="118"/>
      <c r="H66" s="118"/>
      <c r="I66" s="118"/>
    </row>
    <row r="67" spans="2:12">
      <c r="F67" s="37" t="s">
        <v>14</v>
      </c>
      <c r="G67" s="37" t="s">
        <v>8</v>
      </c>
      <c r="H67" s="37" t="str">
        <f>VLOOKUP(B3,Base_lyc!B15:C29,2,FALSE)</f>
        <v>Public</v>
      </c>
      <c r="I67" s="37" t="s">
        <v>184</v>
      </c>
    </row>
    <row r="68" spans="2:12">
      <c r="B68" s="47" t="s">
        <v>172</v>
      </c>
      <c r="E68" s="62"/>
      <c r="F68" s="106">
        <f>VLOOKUP($B$3,Base_lyc!$B$15:$CI$29,37,FALSE)</f>
        <v>87.5</v>
      </c>
      <c r="G68" s="107" t="s">
        <v>10</v>
      </c>
      <c r="H68" s="106">
        <f>VLOOKUP($B$3,Base_lyc!$B$15:$CI$29,38,FALSE)</f>
        <v>87.4</v>
      </c>
      <c r="I68" s="106">
        <f>VLOOKUP($B$3,Base_lyc!$B$15:$CI$29,39,FALSE)</f>
        <v>85.7</v>
      </c>
    </row>
    <row r="69" spans="2:12" s="40" customFormat="1">
      <c r="B69" s="40" t="s">
        <v>210</v>
      </c>
      <c r="E69" s="68"/>
      <c r="F69" s="106">
        <f>VLOOKUP($B$3,Base_lyc!$B$15:$CI$29,40,FALSE)</f>
        <v>1.6</v>
      </c>
      <c r="G69" s="107" t="s">
        <v>10</v>
      </c>
      <c r="H69" s="106">
        <f>VLOOKUP($B$3,Base_lyc!$B$15:$CI$29,41,FALSE)</f>
        <v>1.4</v>
      </c>
      <c r="I69" s="106">
        <f>VLOOKUP($B$3,Base_lyc!$B$15:$CI$29,42,FALSE)</f>
        <v>1.5</v>
      </c>
      <c r="K69" s="47"/>
      <c r="L69" s="47"/>
    </row>
    <row r="70" spans="2:12">
      <c r="B70" s="47" t="s">
        <v>176</v>
      </c>
      <c r="E70" s="62"/>
      <c r="F70" s="36">
        <f>VLOOKUP($B$3,Base_lyc!$B$15:$CI$29,43,FALSE)</f>
        <v>2</v>
      </c>
      <c r="G70" s="105" t="s">
        <v>10</v>
      </c>
      <c r="H70" s="36">
        <f>VLOOKUP($B$3,Base_lyc!$B$15:$CI$29,44,FALSE)</f>
        <v>2.1</v>
      </c>
      <c r="I70" s="36">
        <f>VLOOKUP($B$3,Base_lyc!$B$15:$CI$29,45,FALSE)</f>
        <v>2.5</v>
      </c>
    </row>
    <row r="71" spans="2:12">
      <c r="B71" s="47" t="s">
        <v>173</v>
      </c>
      <c r="E71" s="62"/>
      <c r="F71" s="36">
        <f>VLOOKUP($B$3,Base_lyc!$B$15:$CI$29,46,FALSE)</f>
        <v>59</v>
      </c>
      <c r="G71" s="36" t="str">
        <f>VLOOKUP($B$3,Base_lyc!$B$15:$CI$29,47,FALSE)</f>
        <v>nd</v>
      </c>
      <c r="H71" s="36">
        <f>VLOOKUP($B$3,Base_lyc!$B$15:$CI$29,52,FALSE)</f>
        <v>57.1</v>
      </c>
      <c r="I71" s="36">
        <f>VLOOKUP($B$3,Base_lyc!$B$15:$CI$29,55,FALSE)</f>
        <v>50.4</v>
      </c>
    </row>
    <row r="72" spans="2:12">
      <c r="B72" s="47" t="s">
        <v>174</v>
      </c>
      <c r="E72" s="62"/>
      <c r="F72" s="36">
        <f>VLOOKUP($B$3,Base_lyc!$B$15:$CI$29,48,FALSE)</f>
        <v>71</v>
      </c>
      <c r="G72" s="36" t="str">
        <f>VLOOKUP($B$3,Base_lyc!$B$15:$CI$29,49,FALSE)</f>
        <v>nd</v>
      </c>
      <c r="H72" s="36">
        <f>VLOOKUP($B$3,Base_lyc!$B$15:$CI$29,53,FALSE)</f>
        <v>66.400000000000006</v>
      </c>
      <c r="I72" s="36">
        <f>VLOOKUP($B$3,Base_lyc!$B$15:$CI$29,56,FALSE)</f>
        <v>59.3</v>
      </c>
    </row>
    <row r="73" spans="2:12">
      <c r="B73" s="47" t="s">
        <v>175</v>
      </c>
      <c r="E73" s="62"/>
      <c r="F73" s="36">
        <f>VLOOKUP($B$3,Base_lyc!$B$15:$CI$29,50,FALSE)</f>
        <v>79</v>
      </c>
      <c r="G73" s="36" t="str">
        <f>VLOOKUP($B$3,Base_lyc!$B$15:$CI$29,51,FALSE)</f>
        <v>nd</v>
      </c>
      <c r="H73" s="36">
        <f>VLOOKUP($B$3,Base_lyc!$B$15:$CI$29,54,FALSE)</f>
        <v>80.400000000000006</v>
      </c>
      <c r="I73" s="36">
        <f>VLOOKUP($B$3,Base_lyc!$B$15:$CI$29,57,FALSE)</f>
        <v>73.099999999999994</v>
      </c>
    </row>
    <row r="75" spans="2:12" hidden="1">
      <c r="B75" s="34" t="s">
        <v>250</v>
      </c>
      <c r="C75" s="33"/>
      <c r="D75" s="33"/>
      <c r="E75" s="33"/>
      <c r="F75" s="33"/>
      <c r="G75" s="33"/>
      <c r="H75" s="33"/>
      <c r="I75" s="32" t="s">
        <v>9</v>
      </c>
    </row>
    <row r="76" spans="2:12" ht="21.75" hidden="1">
      <c r="B76" s="31" t="s">
        <v>2</v>
      </c>
      <c r="C76" s="123" t="s">
        <v>1</v>
      </c>
      <c r="D76" s="124"/>
      <c r="E76" s="125" t="s">
        <v>3</v>
      </c>
      <c r="F76" s="126"/>
      <c r="G76" s="127" t="s">
        <v>4</v>
      </c>
      <c r="H76" s="127"/>
      <c r="I76" s="128"/>
    </row>
    <row r="77" spans="2:12" hidden="1">
      <c r="J77" s="30"/>
      <c r="K77" s="29"/>
      <c r="L77" s="30">
        <v>6.5</v>
      </c>
    </row>
    <row r="78" spans="2:12" hidden="1">
      <c r="J78" s="30"/>
      <c r="K78" s="30"/>
      <c r="L78" s="30">
        <v>0</v>
      </c>
    </row>
    <row r="80" spans="2:12" ht="18.75">
      <c r="B80" s="56" t="s">
        <v>7</v>
      </c>
    </row>
    <row r="81" spans="2:25">
      <c r="F81" s="118" t="s">
        <v>253</v>
      </c>
      <c r="G81" s="118"/>
      <c r="H81" s="118"/>
      <c r="I81" s="118"/>
      <c r="J81" s="63"/>
    </row>
    <row r="82" spans="2:25">
      <c r="F82" s="64" t="s">
        <v>14</v>
      </c>
      <c r="G82" s="37" t="s">
        <v>8</v>
      </c>
      <c r="H82" s="37" t="str">
        <f>VLOOKUP(B3,Base_lyc!B15:C29,2,FALSE)</f>
        <v>Public</v>
      </c>
      <c r="I82" s="37" t="s">
        <v>184</v>
      </c>
    </row>
    <row r="83" spans="2:25">
      <c r="B83" s="47" t="s">
        <v>178</v>
      </c>
      <c r="E83" s="62"/>
      <c r="F83" s="36">
        <f>VLOOKUP($B$3,Base_lyc!$B$15:$CI$29,58,FALSE)</f>
        <v>62.8</v>
      </c>
      <c r="G83" s="36" t="str">
        <f>VLOOKUP($B$3,Base_lyc!$B$15:$CI$29,59,FALSE)</f>
        <v>nd</v>
      </c>
      <c r="H83" s="36">
        <f>VLOOKUP($B$3,Base_lyc!$B$15:$CI$29,60,FALSE)</f>
        <v>68.400000000000006</v>
      </c>
      <c r="I83" s="36">
        <f>VLOOKUP($B$3,Base_lyc!$B$15:$CI$29,61,FALSE)</f>
        <v>68.5</v>
      </c>
    </row>
    <row r="84" spans="2:25">
      <c r="B84" s="47" t="s">
        <v>43</v>
      </c>
      <c r="E84" s="62"/>
      <c r="F84" s="36">
        <f>VLOOKUP($B$3,Base_lyc!$B$15:$CI$29,62,FALSE)</f>
        <v>72.5</v>
      </c>
      <c r="G84" s="105" t="s">
        <v>10</v>
      </c>
      <c r="H84" s="36">
        <f>VLOOKUP($B$3,Base_lyc!$B$15:$CI$29,63,FALSE)</f>
        <v>69.7</v>
      </c>
      <c r="I84" s="36">
        <f>VLOOKUP($B$3,Base_lyc!$B$15:$CI$29,64,FALSE)</f>
        <v>68</v>
      </c>
    </row>
    <row r="88" spans="2:25" ht="18.75">
      <c r="B88" s="58" t="s">
        <v>6</v>
      </c>
    </row>
    <row r="89" spans="2:25"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Y89" s="66"/>
    </row>
    <row r="90" spans="2:25"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</row>
    <row r="91" spans="2:25"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</row>
    <row r="92" spans="2:25">
      <c r="J92" s="43"/>
      <c r="K92" s="82"/>
      <c r="L92" s="43"/>
      <c r="M92" s="43"/>
      <c r="N92" s="43"/>
      <c r="O92" s="91"/>
      <c r="P92" s="92"/>
      <c r="Q92" s="43"/>
      <c r="R92" s="43"/>
      <c r="S92" s="43"/>
      <c r="T92" s="43"/>
      <c r="U92" s="43"/>
      <c r="V92" s="43"/>
      <c r="W92" s="43"/>
    </row>
    <row r="93" spans="2:25">
      <c r="J93" s="82" t="s">
        <v>183</v>
      </c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43"/>
      <c r="W93" s="43"/>
    </row>
    <row r="94" spans="2:25" ht="63">
      <c r="J94" s="89" t="s">
        <v>6</v>
      </c>
      <c r="K94" s="90" t="s">
        <v>200</v>
      </c>
      <c r="L94" s="90" t="s">
        <v>194</v>
      </c>
      <c r="M94" s="90" t="s">
        <v>179</v>
      </c>
      <c r="N94" s="90" t="s">
        <v>29</v>
      </c>
      <c r="O94" s="90" t="s">
        <v>31</v>
      </c>
      <c r="P94" s="90" t="s">
        <v>30</v>
      </c>
      <c r="Q94" s="90" t="s">
        <v>180</v>
      </c>
      <c r="R94" s="90" t="s">
        <v>181</v>
      </c>
      <c r="S94" s="90" t="s">
        <v>182</v>
      </c>
      <c r="T94" s="43"/>
      <c r="U94" s="90"/>
      <c r="V94" s="43"/>
      <c r="W94" s="43"/>
    </row>
    <row r="95" spans="2:25">
      <c r="J95" s="82" t="s">
        <v>14</v>
      </c>
      <c r="K95" s="85">
        <f>VLOOKUP(B3,Base_lyc!B49:K63,3,FALSE)</f>
        <v>5</v>
      </c>
      <c r="L95" s="85">
        <f>VLOOKUP(B3,Base_lyc!B49:K63,4,FALSE)</f>
        <v>-0.265152</v>
      </c>
      <c r="M95" s="85">
        <f>VLOOKUP(B3,Base_lyc!B49:K63,5,FALSE)</f>
        <v>1.6923079999999999</v>
      </c>
      <c r="N95" s="85">
        <f>VLOOKUP(B3,Base_lyc!B49:K63,6,FALSE)</f>
        <v>-1.487603</v>
      </c>
      <c r="O95" s="85">
        <f>VLOOKUP(B3,Base_lyc!B49:K63,7,FALSE)</f>
        <v>-5</v>
      </c>
      <c r="P95" s="85">
        <f>VLOOKUP(B3,Base_lyc!B49:R63,11,FALSE)</f>
        <v>4.913043</v>
      </c>
      <c r="Q95" s="85">
        <f>VLOOKUP(B3,Base_lyc!B49:K63,8,FALSE)</f>
        <v>1.1842109999999999</v>
      </c>
      <c r="R95" s="85">
        <f>VLOOKUP(B3,Base_lyc!B49:K63,9,FALSE)</f>
        <v>1</v>
      </c>
      <c r="S95" s="85">
        <f>VLOOKUP(B3,Base_lyc!B49:K63,10,FALSE)</f>
        <v>-0.65517199999999998</v>
      </c>
      <c r="T95" s="43"/>
      <c r="U95" s="82"/>
      <c r="V95" s="43"/>
      <c r="W95" s="43"/>
      <c r="Y95" s="28"/>
    </row>
    <row r="96" spans="2:25">
      <c r="J96" s="82" t="s">
        <v>184</v>
      </c>
      <c r="K96" s="88">
        <v>0</v>
      </c>
      <c r="L96" s="88">
        <v>0</v>
      </c>
      <c r="M96" s="88">
        <v>0</v>
      </c>
      <c r="N96" s="88">
        <v>0</v>
      </c>
      <c r="O96" s="88">
        <v>0</v>
      </c>
      <c r="P96" s="88">
        <v>0</v>
      </c>
      <c r="Q96" s="88">
        <v>0</v>
      </c>
      <c r="R96" s="88">
        <v>0</v>
      </c>
      <c r="S96" s="88">
        <v>0</v>
      </c>
      <c r="T96" s="43"/>
      <c r="U96" s="82"/>
      <c r="V96" s="43"/>
      <c r="W96" s="43"/>
      <c r="Y96" s="62"/>
    </row>
    <row r="97" spans="10:23"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</row>
    <row r="98" spans="10:23"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</row>
    <row r="99" spans="10:23"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</row>
    <row r="100" spans="10:23"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</row>
    <row r="101" spans="10:23"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</row>
    <row r="102" spans="10:23"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</row>
    <row r="103" spans="10:23"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</row>
    <row r="104" spans="10:23">
      <c r="K104" s="30"/>
      <c r="L104" s="30"/>
      <c r="M104" s="30"/>
      <c r="N104" s="30"/>
      <c r="O104" s="30"/>
      <c r="P104" s="30"/>
      <c r="Q104" s="30"/>
      <c r="R104" s="30"/>
      <c r="S104" s="30"/>
      <c r="T104" s="43"/>
      <c r="U104" s="43"/>
      <c r="V104" s="43"/>
      <c r="W104" s="43"/>
    </row>
    <row r="105" spans="10:23">
      <c r="K105" s="30"/>
      <c r="L105" s="30"/>
      <c r="M105" s="30"/>
      <c r="N105" s="30"/>
      <c r="O105" s="30"/>
      <c r="P105" s="30"/>
      <c r="Q105" s="30"/>
      <c r="R105" s="30"/>
      <c r="S105" s="30"/>
      <c r="T105" s="43"/>
      <c r="U105" s="43"/>
      <c r="V105" s="43"/>
      <c r="W105" s="43"/>
    </row>
    <row r="106" spans="10:23">
      <c r="K106" s="30"/>
      <c r="L106" s="30"/>
      <c r="M106" s="30"/>
      <c r="N106" s="30"/>
      <c r="O106" s="30"/>
      <c r="P106" s="30"/>
      <c r="Q106" s="30"/>
      <c r="R106" s="30"/>
      <c r="S106" s="30"/>
      <c r="T106" s="43"/>
      <c r="U106" s="43"/>
      <c r="V106" s="43"/>
      <c r="W106" s="43"/>
    </row>
    <row r="107" spans="10:23">
      <c r="K107" s="30"/>
      <c r="L107" s="30"/>
      <c r="M107" s="30"/>
      <c r="N107" s="30"/>
      <c r="O107" s="30"/>
      <c r="P107" s="30"/>
      <c r="Q107" s="30"/>
      <c r="R107" s="30"/>
      <c r="S107" s="30"/>
      <c r="T107" s="43"/>
      <c r="U107" s="43"/>
      <c r="V107" s="43"/>
      <c r="W107" s="43"/>
    </row>
    <row r="108" spans="10:23">
      <c r="K108" s="30"/>
      <c r="L108" s="30"/>
      <c r="M108" s="30"/>
      <c r="N108" s="30"/>
      <c r="O108" s="30"/>
      <c r="P108" s="30"/>
      <c r="Q108" s="30"/>
      <c r="R108" s="30"/>
      <c r="S108" s="30"/>
      <c r="T108" s="43"/>
      <c r="U108" s="43"/>
      <c r="V108" s="43"/>
      <c r="W108" s="43"/>
    </row>
    <row r="109" spans="10:23">
      <c r="K109" s="30"/>
      <c r="L109" s="30"/>
      <c r="M109" s="30"/>
      <c r="N109" s="30"/>
      <c r="O109" s="30"/>
      <c r="P109" s="30"/>
      <c r="Q109" s="30"/>
      <c r="R109" s="30"/>
      <c r="S109" s="30"/>
      <c r="T109" s="43"/>
      <c r="U109" s="43"/>
      <c r="V109" s="43"/>
      <c r="W109" s="43"/>
    </row>
    <row r="110" spans="10:23"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10:23"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0:23"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11:19"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1:19"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1:19"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1:19"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1:19"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1:19">
      <c r="K118" s="28"/>
      <c r="L118" s="28"/>
      <c r="M118" s="28"/>
      <c r="N118" s="28"/>
      <c r="O118" s="70"/>
      <c r="P118" s="70"/>
      <c r="Q118" s="70"/>
      <c r="R118" s="70"/>
      <c r="S118" s="28"/>
    </row>
    <row r="119" spans="11:19"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1:19"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11:19"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1:19"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1:19"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1:19"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11:19">
      <c r="K125" s="28"/>
      <c r="L125" s="28"/>
      <c r="M125" s="28"/>
      <c r="N125" s="28"/>
      <c r="O125" s="28"/>
      <c r="P125" s="28"/>
      <c r="Q125" s="28"/>
      <c r="R125" s="28"/>
      <c r="S125" s="28"/>
    </row>
  </sheetData>
  <mergeCells count="33">
    <mergeCell ref="D17:H17"/>
    <mergeCell ref="G21:H21"/>
    <mergeCell ref="B1:I1"/>
    <mergeCell ref="F37:I37"/>
    <mergeCell ref="G18:H18"/>
    <mergeCell ref="G19:H19"/>
    <mergeCell ref="G20:H20"/>
    <mergeCell ref="G38:H38"/>
    <mergeCell ref="G39:H39"/>
    <mergeCell ref="G40:H40"/>
    <mergeCell ref="G41:H41"/>
    <mergeCell ref="G42:H42"/>
    <mergeCell ref="G44:H44"/>
    <mergeCell ref="G43:H43"/>
    <mergeCell ref="G45:H45"/>
    <mergeCell ref="F81:I81"/>
    <mergeCell ref="F52:F53"/>
    <mergeCell ref="I52:I53"/>
    <mergeCell ref="G60:H60"/>
    <mergeCell ref="G61:H61"/>
    <mergeCell ref="G62:H62"/>
    <mergeCell ref="F66:I66"/>
    <mergeCell ref="G52:H53"/>
    <mergeCell ref="G54:H54"/>
    <mergeCell ref="G58:H58"/>
    <mergeCell ref="G59:H59"/>
    <mergeCell ref="F57:I57"/>
    <mergeCell ref="G46:H46"/>
    <mergeCell ref="C76:D76"/>
    <mergeCell ref="E76:F76"/>
    <mergeCell ref="G76:I76"/>
    <mergeCell ref="F50:I50"/>
    <mergeCell ref="G51:H51"/>
  </mergeCells>
  <hyperlinks>
    <hyperlink ref="C13" r:id="rId1" xr:uid="{00000000-0004-0000-0100-000000000000}"/>
  </hyperlinks>
  <pageMargins left="0.23622047244094491" right="0.23622047244094491" top="0.35433070866141736" bottom="0.35433070866141736" header="0.31496062992125984" footer="0.31496062992125984"/>
  <pageSetup paperSize="9" scale="95" fitToHeight="0" orientation="portrait" r:id="rId2"/>
  <ignoredErrors>
    <ignoredError sqref="F84 H84:I84" evalError="1"/>
  </ignoredError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Base_lyc!$A$15:$A$29</xm:f>
          </x14:formula1>
          <xm:sqref>B1:I1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CI140"/>
  <sheetViews>
    <sheetView zoomScale="80" zoomScaleNormal="80" workbookViewId="0">
      <pane xSplit="3" ySplit="1" topLeftCell="D2" activePane="bottomRight" state="frozen"/>
      <selection activeCell="B1" sqref="B1:I1"/>
      <selection pane="topRight" activeCell="B1" sqref="B1:I1"/>
      <selection pane="bottomLeft" activeCell="B1" sqref="B1:I1"/>
      <selection pane="bottomRight" activeCell="A2" sqref="A2"/>
    </sheetView>
  </sheetViews>
  <sheetFormatPr baseColWidth="10" defaultColWidth="11.42578125" defaultRowHeight="12.75"/>
  <cols>
    <col min="1" max="1" width="62.28515625" style="1" bestFit="1" customWidth="1"/>
    <col min="2" max="2" width="9.28515625" style="1" bestFit="1" customWidth="1"/>
    <col min="3" max="3" width="16.140625" style="1" bestFit="1" customWidth="1"/>
    <col min="4" max="4" width="12.140625" style="1" customWidth="1"/>
    <col min="5" max="5" width="16.140625" style="1" bestFit="1" customWidth="1"/>
    <col min="6" max="6" width="14.42578125" style="2" bestFit="1" customWidth="1"/>
    <col min="7" max="7" width="15.42578125" style="2" bestFit="1" customWidth="1"/>
    <col min="8" max="8" width="14.42578125" style="2" bestFit="1" customWidth="1"/>
    <col min="9" max="9" width="15.42578125" style="2" bestFit="1" customWidth="1"/>
    <col min="10" max="10" width="14.42578125" style="2" bestFit="1" customWidth="1"/>
    <col min="11" max="11" width="15.42578125" style="2" bestFit="1" customWidth="1"/>
    <col min="12" max="13" width="15.42578125" style="2" customWidth="1"/>
    <col min="14" max="14" width="20.7109375" style="2" customWidth="1"/>
    <col min="15" max="15" width="20.7109375" style="2" bestFit="1" customWidth="1"/>
    <col min="16" max="16" width="20.7109375" style="2" customWidth="1"/>
    <col min="17" max="17" width="9.28515625" style="2" bestFit="1" customWidth="1"/>
    <col min="18" max="19" width="8.7109375" style="7" bestFit="1" customWidth="1"/>
    <col min="20" max="20" width="12" style="7" bestFit="1" customWidth="1"/>
    <col min="21" max="22" width="11.42578125" style="7"/>
    <col min="23" max="23" width="12.28515625" style="7" bestFit="1" customWidth="1"/>
    <col min="24" max="25" width="11.7109375" style="7" bestFit="1" customWidth="1"/>
    <col min="26" max="26" width="8" style="7" bestFit="1" customWidth="1"/>
    <col min="27" max="28" width="7.42578125" style="7" bestFit="1" customWidth="1"/>
    <col min="29" max="29" width="10.28515625" style="7" bestFit="1" customWidth="1"/>
    <col min="30" max="31" width="9.7109375" style="7" bestFit="1" customWidth="1"/>
    <col min="32" max="32" width="8.140625" style="7" bestFit="1" customWidth="1"/>
    <col min="33" max="34" width="7.5703125" style="7" bestFit="1" customWidth="1"/>
    <col min="35" max="35" width="8.140625" style="7" bestFit="1" customWidth="1"/>
    <col min="36" max="37" width="7.5703125" style="7" bestFit="1" customWidth="1"/>
    <col min="38" max="38" width="20.28515625" style="7" customWidth="1"/>
    <col min="39" max="40" width="19.7109375" style="7" bestFit="1" customWidth="1"/>
    <col min="41" max="41" width="21" style="7" bestFit="1" customWidth="1"/>
    <col min="42" max="43" width="20.42578125" style="7" bestFit="1" customWidth="1"/>
    <col min="44" max="44" width="15.140625" style="7" bestFit="1" customWidth="1"/>
    <col min="45" max="46" width="14.5703125" style="7" bestFit="1" customWidth="1"/>
    <col min="47" max="47" width="16.28515625" style="7" bestFit="1" customWidth="1"/>
    <col min="48" max="48" width="15.140625" style="7" bestFit="1" customWidth="1"/>
    <col min="49" max="49" width="14.140625" style="9" bestFit="1" customWidth="1"/>
    <col min="50" max="50" width="13.140625" style="9" bestFit="1" customWidth="1"/>
    <col min="51" max="51" width="14.5703125" style="9" bestFit="1" customWidth="1"/>
    <col min="52" max="52" width="14" style="9" bestFit="1" customWidth="1"/>
    <col min="53" max="53" width="16.28515625" style="7" bestFit="1" customWidth="1"/>
    <col min="54" max="54" width="14.140625" style="9" bestFit="1" customWidth="1"/>
    <col min="55" max="55" width="14.5703125" style="9" bestFit="1" customWidth="1"/>
    <col min="56" max="56" width="16.28515625" style="7" bestFit="1" customWidth="1"/>
    <col min="57" max="57" width="14.140625" style="9" bestFit="1" customWidth="1"/>
    <col min="58" max="58" width="14.5703125" style="9" bestFit="1" customWidth="1"/>
    <col min="59" max="59" width="20.7109375" style="7" customWidth="1"/>
    <col min="60" max="60" width="19.140625" style="7" customWidth="1"/>
    <col min="61" max="62" width="19.7109375" style="7" bestFit="1" customWidth="1"/>
    <col min="63" max="63" width="17.5703125" style="7" bestFit="1" customWidth="1"/>
    <col min="64" max="65" width="17" style="7" bestFit="1" customWidth="1"/>
    <col min="66" max="66" width="12.28515625" style="7" customWidth="1"/>
    <col min="67" max="68" width="11.7109375" style="7" customWidth="1"/>
    <col min="69" max="69" width="11.140625" style="7" bestFit="1" customWidth="1"/>
    <col min="70" max="71" width="10.5703125" style="7" bestFit="1" customWidth="1"/>
    <col min="72" max="72" width="8.5703125" style="7" bestFit="1" customWidth="1"/>
    <col min="73" max="74" width="8" style="7" bestFit="1" customWidth="1"/>
    <col min="75" max="75" width="8.5703125" style="7" bestFit="1" customWidth="1"/>
    <col min="76" max="77" width="8" style="7" bestFit="1" customWidth="1"/>
    <col min="78" max="78" width="9.28515625" style="7" bestFit="1" customWidth="1"/>
    <col min="79" max="79" width="12.5703125" style="1" customWidth="1"/>
    <col min="80" max="81" width="11.42578125" style="1"/>
    <col min="82" max="82" width="14" style="1" bestFit="1" customWidth="1"/>
    <col min="83" max="83" width="13.42578125" style="1" bestFit="1" customWidth="1"/>
    <col min="84" max="84" width="13.5703125" style="1" bestFit="1" customWidth="1"/>
    <col min="85" max="85" width="17.7109375" style="1" bestFit="1" customWidth="1"/>
    <col min="86" max="86" width="17.140625" style="1" bestFit="1" customWidth="1"/>
    <col min="87" max="87" width="17.28515625" style="1" bestFit="1" customWidth="1"/>
    <col min="88" max="16384" width="11.42578125" style="1"/>
  </cols>
  <sheetData>
    <row r="1" spans="1:87" s="2" customFormat="1">
      <c r="A1" s="2" t="s">
        <v>88</v>
      </c>
      <c r="B1" s="2" t="s">
        <v>148</v>
      </c>
      <c r="C1" s="2" t="s">
        <v>70</v>
      </c>
      <c r="D1" s="2" t="s">
        <v>72</v>
      </c>
      <c r="E1" s="2" t="s">
        <v>71</v>
      </c>
      <c r="F1" s="2" t="s">
        <v>139</v>
      </c>
      <c r="G1" s="2" t="s">
        <v>140</v>
      </c>
      <c r="H1" s="2" t="s">
        <v>228</v>
      </c>
      <c r="I1" s="2" t="s">
        <v>229</v>
      </c>
      <c r="J1" s="2" t="s">
        <v>226</v>
      </c>
      <c r="K1" s="2" t="s">
        <v>227</v>
      </c>
      <c r="L1" s="2" t="s">
        <v>224</v>
      </c>
      <c r="M1" s="2" t="s">
        <v>225</v>
      </c>
      <c r="N1" s="20" t="s">
        <v>247</v>
      </c>
      <c r="O1" s="20" t="s">
        <v>245</v>
      </c>
      <c r="P1" s="20" t="s">
        <v>244</v>
      </c>
      <c r="Q1" s="7" t="s">
        <v>197</v>
      </c>
      <c r="R1" s="7" t="s">
        <v>198</v>
      </c>
      <c r="S1" s="7" t="s">
        <v>199</v>
      </c>
      <c r="T1" s="7" t="s">
        <v>89</v>
      </c>
      <c r="U1" s="7" t="s">
        <v>90</v>
      </c>
      <c r="V1" s="7" t="s">
        <v>91</v>
      </c>
      <c r="W1" s="7" t="s">
        <v>92</v>
      </c>
      <c r="X1" s="7" t="s">
        <v>93</v>
      </c>
      <c r="Y1" s="7" t="s">
        <v>94</v>
      </c>
      <c r="Z1" s="7" t="s">
        <v>95</v>
      </c>
      <c r="AA1" s="7" t="s">
        <v>96</v>
      </c>
      <c r="AB1" s="7" t="s">
        <v>97</v>
      </c>
      <c r="AC1" s="7" t="s">
        <v>98</v>
      </c>
      <c r="AD1" s="7" t="s">
        <v>99</v>
      </c>
      <c r="AE1" s="7" t="s">
        <v>100</v>
      </c>
      <c r="AF1" s="7" t="s">
        <v>101</v>
      </c>
      <c r="AG1" s="7" t="s">
        <v>102</v>
      </c>
      <c r="AH1" s="7" t="s">
        <v>103</v>
      </c>
      <c r="AI1" s="7" t="s">
        <v>104</v>
      </c>
      <c r="AJ1" s="7" t="s">
        <v>105</v>
      </c>
      <c r="AK1" s="7" t="s">
        <v>106</v>
      </c>
      <c r="AL1" s="7" t="s">
        <v>188</v>
      </c>
      <c r="AM1" s="7" t="s">
        <v>189</v>
      </c>
      <c r="AN1" s="7" t="s">
        <v>190</v>
      </c>
      <c r="AO1" s="7" t="s">
        <v>160</v>
      </c>
      <c r="AP1" s="7" t="s">
        <v>161</v>
      </c>
      <c r="AQ1" s="7" t="s">
        <v>162</v>
      </c>
      <c r="AR1" s="7" t="s">
        <v>141</v>
      </c>
      <c r="AS1" s="7" t="s">
        <v>142</v>
      </c>
      <c r="AT1" s="7" t="s">
        <v>143</v>
      </c>
      <c r="AU1" s="7" t="s">
        <v>144</v>
      </c>
      <c r="AV1" s="7" t="s">
        <v>151</v>
      </c>
      <c r="AW1" s="7" t="s">
        <v>145</v>
      </c>
      <c r="AX1" s="7" t="s">
        <v>152</v>
      </c>
      <c r="AY1" s="7" t="s">
        <v>146</v>
      </c>
      <c r="AZ1" s="7" t="s">
        <v>153</v>
      </c>
      <c r="BA1" s="7" t="s">
        <v>255</v>
      </c>
      <c r="BB1" s="7" t="s">
        <v>256</v>
      </c>
      <c r="BC1" s="7" t="s">
        <v>257</v>
      </c>
      <c r="BD1" s="7" t="s">
        <v>258</v>
      </c>
      <c r="BE1" s="7" t="s">
        <v>259</v>
      </c>
      <c r="BF1" s="7" t="s">
        <v>260</v>
      </c>
      <c r="BG1" s="7" t="s">
        <v>154</v>
      </c>
      <c r="BH1" s="7" t="s">
        <v>147</v>
      </c>
      <c r="BI1" s="7" t="s">
        <v>168</v>
      </c>
      <c r="BJ1" s="7" t="s">
        <v>169</v>
      </c>
      <c r="BK1" s="7" t="s">
        <v>164</v>
      </c>
      <c r="BL1" s="7" t="s">
        <v>165</v>
      </c>
      <c r="BM1" s="7" t="s">
        <v>166</v>
      </c>
      <c r="BN1" s="7" t="s">
        <v>107</v>
      </c>
      <c r="BO1" s="7" t="s">
        <v>108</v>
      </c>
      <c r="BP1" s="7" t="s">
        <v>109</v>
      </c>
      <c r="BQ1" s="7" t="s">
        <v>110</v>
      </c>
      <c r="BR1" s="7" t="s">
        <v>111</v>
      </c>
      <c r="BS1" s="7" t="s">
        <v>112</v>
      </c>
      <c r="BT1" s="7" t="s">
        <v>113</v>
      </c>
      <c r="BU1" s="7" t="s">
        <v>114</v>
      </c>
      <c r="BV1" s="7" t="s">
        <v>115</v>
      </c>
      <c r="BW1" s="7" t="s">
        <v>116</v>
      </c>
      <c r="BX1" s="7" t="s">
        <v>117</v>
      </c>
      <c r="BY1" s="7" t="s">
        <v>118</v>
      </c>
      <c r="BZ1" s="7"/>
      <c r="CA1" s="2" t="s">
        <v>207</v>
      </c>
      <c r="CB1" s="2" t="s">
        <v>208</v>
      </c>
      <c r="CC1" s="2" t="s">
        <v>209</v>
      </c>
      <c r="CD1" s="2" t="s">
        <v>211</v>
      </c>
      <c r="CE1" s="2" t="s">
        <v>212</v>
      </c>
      <c r="CF1" s="2" t="s">
        <v>213</v>
      </c>
      <c r="CG1" s="2" t="s">
        <v>214</v>
      </c>
      <c r="CH1" s="2" t="s">
        <v>215</v>
      </c>
      <c r="CI1" s="2" t="s">
        <v>216</v>
      </c>
    </row>
    <row r="2" spans="1:87" s="2" customFormat="1">
      <c r="A2" s="2" t="s">
        <v>119</v>
      </c>
      <c r="B2" s="2" t="s">
        <v>62</v>
      </c>
      <c r="C2" s="5" t="s">
        <v>15</v>
      </c>
      <c r="D2" s="2" t="s">
        <v>26</v>
      </c>
      <c r="E2" s="2" t="s">
        <v>73</v>
      </c>
      <c r="F2" s="7">
        <v>1464</v>
      </c>
      <c r="G2" s="7">
        <v>379</v>
      </c>
      <c r="H2" s="23">
        <v>1132</v>
      </c>
      <c r="I2" s="23">
        <v>473</v>
      </c>
      <c r="J2" s="23">
        <v>1120</v>
      </c>
      <c r="K2" s="23">
        <v>431</v>
      </c>
      <c r="L2" s="103">
        <v>1065</v>
      </c>
      <c r="M2" s="103">
        <v>427</v>
      </c>
      <c r="N2" s="111">
        <f>VLOOKUP($B2,Extract_R__18_08_26!$B$2:$H$75,4,FALSE)</f>
        <v>0</v>
      </c>
      <c r="O2" s="111">
        <f>VLOOKUP($B2,Extract_R__18_08_26!$B$2:$H$75,5,FALSE)</f>
        <v>1038</v>
      </c>
      <c r="P2" s="111">
        <f>VLOOKUP($B2,Extract_R__18_08_26!$B$2:$H$75,6,FALSE)</f>
        <v>385</v>
      </c>
      <c r="Q2" s="96">
        <v>97.3</v>
      </c>
      <c r="R2" s="96">
        <v>115.5</v>
      </c>
      <c r="S2" s="96">
        <v>110.6</v>
      </c>
      <c r="T2" s="96">
        <v>19</v>
      </c>
      <c r="U2" s="96">
        <v>34.6</v>
      </c>
      <c r="V2" s="96">
        <v>33.5</v>
      </c>
      <c r="W2" s="96">
        <v>37.799999999999997</v>
      </c>
      <c r="X2" s="96">
        <v>24.2</v>
      </c>
      <c r="Y2" s="96">
        <v>25</v>
      </c>
      <c r="Z2" s="96">
        <v>130.30000000000001</v>
      </c>
      <c r="AA2" s="96">
        <v>107</v>
      </c>
      <c r="AB2" s="96">
        <v>108.7</v>
      </c>
      <c r="AC2" s="96">
        <v>7.2</v>
      </c>
      <c r="AD2" s="96">
        <v>7.2</v>
      </c>
      <c r="AE2" s="96">
        <v>6.5</v>
      </c>
      <c r="AF2" s="96">
        <v>1.56</v>
      </c>
      <c r="AG2" s="96">
        <v>1.73</v>
      </c>
      <c r="AH2" s="96">
        <v>1.83</v>
      </c>
      <c r="AI2" s="96">
        <v>28</v>
      </c>
      <c r="AJ2" s="96">
        <v>26.3</v>
      </c>
      <c r="AK2" s="96">
        <v>26.4</v>
      </c>
      <c r="AL2" s="96">
        <v>85.2</v>
      </c>
      <c r="AM2" s="96">
        <v>82.2</v>
      </c>
      <c r="AN2" s="96">
        <v>81.7</v>
      </c>
      <c r="AO2" s="96">
        <v>1.6</v>
      </c>
      <c r="AP2" s="96">
        <v>5.5</v>
      </c>
      <c r="AQ2" s="96">
        <v>5.3</v>
      </c>
      <c r="AR2" s="96">
        <v>1.8</v>
      </c>
      <c r="AS2" s="96">
        <v>2.7</v>
      </c>
      <c r="AT2" s="96">
        <v>3.6</v>
      </c>
      <c r="AU2" s="94">
        <v>90</v>
      </c>
      <c r="AV2" s="94" t="s">
        <v>223</v>
      </c>
      <c r="AW2" s="94">
        <v>93</v>
      </c>
      <c r="AX2" s="94" t="s">
        <v>223</v>
      </c>
      <c r="AY2" s="94">
        <v>96</v>
      </c>
      <c r="AZ2" s="94" t="s">
        <v>223</v>
      </c>
      <c r="BA2" s="94">
        <v>77.900000000000006</v>
      </c>
      <c r="BB2" s="94">
        <v>88.8</v>
      </c>
      <c r="BC2" s="94">
        <v>93.1</v>
      </c>
      <c r="BD2" s="94">
        <v>78.400000000000006</v>
      </c>
      <c r="BE2" s="94">
        <v>88.6</v>
      </c>
      <c r="BF2" s="94">
        <v>93.4</v>
      </c>
      <c r="BG2" s="96">
        <v>94.8</v>
      </c>
      <c r="BH2" s="7" t="s">
        <v>223</v>
      </c>
      <c r="BI2" s="96">
        <v>90.3</v>
      </c>
      <c r="BJ2" s="96">
        <v>90.1</v>
      </c>
      <c r="BK2" s="96">
        <v>75.900000000000006</v>
      </c>
      <c r="BL2" s="96">
        <v>69.7</v>
      </c>
      <c r="BM2" s="96">
        <v>68</v>
      </c>
      <c r="BN2" s="98">
        <v>55.13</v>
      </c>
      <c r="BO2" s="96">
        <v>53.31</v>
      </c>
      <c r="BP2" s="96">
        <v>53.31</v>
      </c>
      <c r="BQ2" s="98">
        <v>93.7</v>
      </c>
      <c r="BR2" s="98">
        <v>88.9</v>
      </c>
      <c r="BS2" s="98">
        <v>86.3</v>
      </c>
      <c r="BT2" s="96">
        <v>8.6</v>
      </c>
      <c r="BU2" s="96">
        <v>6.3</v>
      </c>
      <c r="BV2" s="96">
        <v>6.8</v>
      </c>
      <c r="BW2" s="96">
        <v>49.3</v>
      </c>
      <c r="BX2" s="96">
        <v>46.7</v>
      </c>
      <c r="BY2" s="96">
        <v>47</v>
      </c>
      <c r="BZ2" s="17" t="s">
        <v>62</v>
      </c>
      <c r="CA2" s="96">
        <v>5</v>
      </c>
      <c r="CB2" s="96">
        <v>25.560747663551403</v>
      </c>
      <c r="CC2" s="96">
        <f>0.235*100</f>
        <v>23.5</v>
      </c>
      <c r="CD2" s="96">
        <v>14.1</v>
      </c>
      <c r="CE2" s="96">
        <v>37.6</v>
      </c>
      <c r="CF2" s="96">
        <v>35.700000000000003</v>
      </c>
      <c r="CG2" s="96">
        <v>23.4</v>
      </c>
      <c r="CH2" s="96">
        <v>50.4</v>
      </c>
      <c r="CI2" s="96">
        <v>48.2</v>
      </c>
    </row>
    <row r="3" spans="1:87" s="2" customFormat="1">
      <c r="A3" s="2" t="s">
        <v>120</v>
      </c>
      <c r="B3" s="2" t="s">
        <v>32</v>
      </c>
      <c r="C3" s="5" t="s">
        <v>15</v>
      </c>
      <c r="D3" s="2" t="s">
        <v>26</v>
      </c>
      <c r="E3" s="2" t="s">
        <v>74</v>
      </c>
      <c r="F3" s="7">
        <v>1005</v>
      </c>
      <c r="G3" s="7">
        <v>334</v>
      </c>
      <c r="H3" s="23">
        <v>698</v>
      </c>
      <c r="I3" s="24">
        <v>458</v>
      </c>
      <c r="J3" s="23">
        <v>657</v>
      </c>
      <c r="K3" s="23">
        <v>494</v>
      </c>
      <c r="L3" s="103">
        <v>581</v>
      </c>
      <c r="M3" s="103">
        <v>501</v>
      </c>
      <c r="N3" s="111">
        <f>VLOOKUP($B3,Extract_R__18_08_26!$B$2:$H$75,4,FALSE)</f>
        <v>503</v>
      </c>
      <c r="O3" s="111">
        <f>VLOOKUP($B3,Extract_R__18_08_26!$B$2:$H$75,5,FALSE)</f>
        <v>574</v>
      </c>
      <c r="P3" s="111">
        <f>VLOOKUP($B3,Extract_R__18_08_26!$B$2:$H$75,6,FALSE)</f>
        <v>416</v>
      </c>
      <c r="Q3" s="96">
        <v>97.3</v>
      </c>
      <c r="R3" s="96">
        <v>115.5</v>
      </c>
      <c r="S3" s="96">
        <v>110.6</v>
      </c>
      <c r="T3" s="96">
        <v>39</v>
      </c>
      <c r="U3" s="96">
        <v>34.6</v>
      </c>
      <c r="V3" s="96">
        <v>33.5</v>
      </c>
      <c r="W3" s="96">
        <v>21.1</v>
      </c>
      <c r="X3" s="96">
        <v>24.2</v>
      </c>
      <c r="Y3" s="96">
        <v>25</v>
      </c>
      <c r="Z3" s="96">
        <v>94.3</v>
      </c>
      <c r="AA3" s="96">
        <v>107</v>
      </c>
      <c r="AB3" s="96">
        <v>108.7</v>
      </c>
      <c r="AC3" s="96">
        <v>7.4</v>
      </c>
      <c r="AD3" s="96">
        <v>7.2</v>
      </c>
      <c r="AE3" s="96">
        <v>6.5</v>
      </c>
      <c r="AF3" s="96">
        <v>2.0299999999999998</v>
      </c>
      <c r="AG3" s="96">
        <v>1.73</v>
      </c>
      <c r="AH3" s="96">
        <v>1.83</v>
      </c>
      <c r="AI3" s="96">
        <v>24.2</v>
      </c>
      <c r="AJ3" s="96">
        <v>26.3</v>
      </c>
      <c r="AK3" s="96">
        <v>26.4</v>
      </c>
      <c r="AL3" s="96">
        <v>70.5</v>
      </c>
      <c r="AM3" s="96">
        <v>82.2</v>
      </c>
      <c r="AN3" s="96">
        <v>81.7</v>
      </c>
      <c r="AO3" s="96">
        <v>14.1</v>
      </c>
      <c r="AP3" s="96">
        <v>5.5</v>
      </c>
      <c r="AQ3" s="96">
        <v>5.3</v>
      </c>
      <c r="AR3" s="96">
        <v>7</v>
      </c>
      <c r="AS3" s="96">
        <v>2.7</v>
      </c>
      <c r="AT3" s="96">
        <v>3.6</v>
      </c>
      <c r="AU3" s="94">
        <v>75</v>
      </c>
      <c r="AV3" s="94" t="s">
        <v>223</v>
      </c>
      <c r="AW3" s="94">
        <v>88</v>
      </c>
      <c r="AX3" s="94" t="s">
        <v>223</v>
      </c>
      <c r="AY3" s="94">
        <v>91</v>
      </c>
      <c r="AZ3" s="94" t="s">
        <v>223</v>
      </c>
      <c r="BA3" s="94">
        <v>77.900000000000006</v>
      </c>
      <c r="BB3" s="94">
        <v>88.8</v>
      </c>
      <c r="BC3" s="94">
        <v>93.1</v>
      </c>
      <c r="BD3" s="94">
        <v>78.400000000000006</v>
      </c>
      <c r="BE3" s="94">
        <v>88.6</v>
      </c>
      <c r="BF3" s="94">
        <v>93.4</v>
      </c>
      <c r="BG3" s="96">
        <v>88.2</v>
      </c>
      <c r="BH3" s="7" t="s">
        <v>223</v>
      </c>
      <c r="BI3" s="96">
        <v>90.3</v>
      </c>
      <c r="BJ3" s="96">
        <v>90.1</v>
      </c>
      <c r="BK3" s="96">
        <v>70.599999999999994</v>
      </c>
      <c r="BL3" s="96">
        <v>69.7</v>
      </c>
      <c r="BM3" s="96">
        <v>68</v>
      </c>
      <c r="BN3" s="98">
        <v>41.45</v>
      </c>
      <c r="BO3" s="96">
        <v>53.31</v>
      </c>
      <c r="BP3" s="96">
        <v>53.31</v>
      </c>
      <c r="BQ3" s="98">
        <v>89.8</v>
      </c>
      <c r="BR3" s="98">
        <v>88.9</v>
      </c>
      <c r="BS3" s="98">
        <v>86.3</v>
      </c>
      <c r="BT3" s="96">
        <v>7</v>
      </c>
      <c r="BU3" s="96">
        <v>6.3</v>
      </c>
      <c r="BV3" s="96">
        <v>6.8</v>
      </c>
      <c r="BW3" s="96">
        <v>46.8</v>
      </c>
      <c r="BX3" s="96">
        <v>46.7</v>
      </c>
      <c r="BY3" s="96">
        <v>47</v>
      </c>
      <c r="BZ3" s="17" t="s">
        <v>32</v>
      </c>
      <c r="CA3" s="96">
        <v>33.789954337899545</v>
      </c>
      <c r="CB3" s="96">
        <v>25.560747663551403</v>
      </c>
      <c r="CC3" s="96">
        <f t="shared" ref="CC3:CC11" si="0">0.235*100</f>
        <v>23.5</v>
      </c>
      <c r="CD3" s="96">
        <v>46.5</v>
      </c>
      <c r="CE3" s="96">
        <v>37.6</v>
      </c>
      <c r="CF3" s="96">
        <v>35.700000000000003</v>
      </c>
      <c r="CG3" s="96">
        <v>70</v>
      </c>
      <c r="CH3" s="96">
        <v>50.4</v>
      </c>
      <c r="CI3" s="96">
        <v>48.2</v>
      </c>
    </row>
    <row r="4" spans="1:87" s="2" customFormat="1">
      <c r="A4" s="2" t="s">
        <v>122</v>
      </c>
      <c r="B4" s="2" t="s">
        <v>63</v>
      </c>
      <c r="C4" s="2" t="s">
        <v>69</v>
      </c>
      <c r="D4" s="2" t="s">
        <v>26</v>
      </c>
      <c r="E4" s="2" t="s">
        <v>76</v>
      </c>
      <c r="F4" s="7">
        <v>842</v>
      </c>
      <c r="G4" s="7">
        <v>118</v>
      </c>
      <c r="H4" s="23">
        <v>898</v>
      </c>
      <c r="I4" s="23">
        <v>171</v>
      </c>
      <c r="J4" s="23">
        <v>870</v>
      </c>
      <c r="K4" s="23">
        <v>168</v>
      </c>
      <c r="L4" s="103">
        <v>858</v>
      </c>
      <c r="M4" s="103">
        <v>175</v>
      </c>
      <c r="N4" s="111">
        <f>VLOOKUP($B4,Extract_R__18_08_26!$B$2:$H$75,4,FALSE)</f>
        <v>0</v>
      </c>
      <c r="O4" s="111">
        <f>VLOOKUP($B4,Extract_R__18_08_26!$B$2:$H$75,5,FALSE)</f>
        <v>842</v>
      </c>
      <c r="P4" s="111">
        <f>VLOOKUP($B4,Extract_R__18_08_26!$B$2:$H$75,6,FALSE)</f>
        <v>160</v>
      </c>
      <c r="Q4" s="96">
        <v>97.3</v>
      </c>
      <c r="R4" s="96">
        <v>99.2</v>
      </c>
      <c r="S4" s="96">
        <v>110.6</v>
      </c>
      <c r="T4" s="96">
        <v>19.3</v>
      </c>
      <c r="U4" s="96">
        <v>29.9</v>
      </c>
      <c r="V4" s="96">
        <v>33.5</v>
      </c>
      <c r="W4" s="96">
        <v>37.1</v>
      </c>
      <c r="X4" s="96">
        <v>27.6</v>
      </c>
      <c r="Y4" s="96">
        <v>25</v>
      </c>
      <c r="Z4" s="96">
        <v>125</v>
      </c>
      <c r="AA4" s="96">
        <v>113.2</v>
      </c>
      <c r="AB4" s="96">
        <v>108.7</v>
      </c>
      <c r="AC4" s="96">
        <v>4.0999999999999996</v>
      </c>
      <c r="AD4" s="96">
        <v>4.8</v>
      </c>
      <c r="AE4" s="96">
        <v>6.5</v>
      </c>
      <c r="AF4" s="96">
        <v>2.0099999999999998</v>
      </c>
      <c r="AG4" s="96">
        <v>2.1</v>
      </c>
      <c r="AH4" s="96">
        <v>1.83</v>
      </c>
      <c r="AI4" s="96">
        <v>28.6</v>
      </c>
      <c r="AJ4" s="96">
        <v>26.8</v>
      </c>
      <c r="AK4" s="96">
        <v>26.4</v>
      </c>
      <c r="AL4" s="96">
        <v>85.4</v>
      </c>
      <c r="AM4" s="96">
        <v>80.3</v>
      </c>
      <c r="AN4" s="96">
        <v>81.7</v>
      </c>
      <c r="AO4" s="96">
        <v>1</v>
      </c>
      <c r="AP4" s="96">
        <v>4.9000000000000004</v>
      </c>
      <c r="AQ4" s="96">
        <v>5.3</v>
      </c>
      <c r="AR4" s="96">
        <v>4</v>
      </c>
      <c r="AS4" s="96">
        <v>6</v>
      </c>
      <c r="AT4" s="96">
        <v>3.6</v>
      </c>
      <c r="AU4" s="94">
        <v>87</v>
      </c>
      <c r="AV4" s="94" t="s">
        <v>223</v>
      </c>
      <c r="AW4" s="94">
        <v>96</v>
      </c>
      <c r="AX4" s="94" t="s">
        <v>223</v>
      </c>
      <c r="AY4" s="94">
        <v>98</v>
      </c>
      <c r="AZ4" s="94" t="s">
        <v>223</v>
      </c>
      <c r="BA4" s="94">
        <v>79.7</v>
      </c>
      <c r="BB4" s="94">
        <v>88.3</v>
      </c>
      <c r="BC4" s="94">
        <v>94</v>
      </c>
      <c r="BD4" s="94">
        <v>78.400000000000006</v>
      </c>
      <c r="BE4" s="94">
        <v>88.6</v>
      </c>
      <c r="BF4" s="94">
        <v>93.4</v>
      </c>
      <c r="BG4" s="96">
        <v>96.8</v>
      </c>
      <c r="BH4" s="7" t="s">
        <v>223</v>
      </c>
      <c r="BI4" s="96">
        <v>89.7</v>
      </c>
      <c r="BJ4" s="96">
        <v>90.1</v>
      </c>
      <c r="BK4" s="96">
        <v>68.599999999999994</v>
      </c>
      <c r="BL4" s="96">
        <v>64.099999999999994</v>
      </c>
      <c r="BM4" s="96">
        <v>68</v>
      </c>
      <c r="BN4" s="98" t="s">
        <v>223</v>
      </c>
      <c r="BO4" s="98" t="s">
        <v>223</v>
      </c>
      <c r="BP4" s="98" t="s">
        <v>223</v>
      </c>
      <c r="BQ4" s="98">
        <v>77.099999999999994</v>
      </c>
      <c r="BR4" s="98">
        <v>76.8</v>
      </c>
      <c r="BS4" s="98">
        <v>86.3</v>
      </c>
      <c r="BT4" s="96">
        <v>8.4</v>
      </c>
      <c r="BU4" s="96">
        <v>8.3000000000000007</v>
      </c>
      <c r="BV4" s="96">
        <v>6.8</v>
      </c>
      <c r="BW4" s="96">
        <v>48.5</v>
      </c>
      <c r="BX4" s="96">
        <v>48.3</v>
      </c>
      <c r="BY4" s="96">
        <v>47</v>
      </c>
      <c r="BZ4" s="17" t="s">
        <v>63</v>
      </c>
      <c r="CA4" s="96">
        <v>4.8275862068965516</v>
      </c>
      <c r="CB4" s="96">
        <v>17.714285714285712</v>
      </c>
      <c r="CC4" s="96">
        <f t="shared" si="0"/>
        <v>23.5</v>
      </c>
      <c r="CD4" s="96">
        <v>15</v>
      </c>
      <c r="CE4" s="96">
        <v>30.6</v>
      </c>
      <c r="CF4" s="96">
        <v>35.700000000000003</v>
      </c>
      <c r="CG4" s="96">
        <v>26.5</v>
      </c>
      <c r="CH4" s="96">
        <v>42.2</v>
      </c>
      <c r="CI4" s="96">
        <v>48.2</v>
      </c>
    </row>
    <row r="5" spans="1:87" s="2" customFormat="1">
      <c r="A5" s="2" t="s">
        <v>130</v>
      </c>
      <c r="B5" s="2" t="s">
        <v>58</v>
      </c>
      <c r="C5" s="2" t="s">
        <v>69</v>
      </c>
      <c r="D5" s="2" t="s">
        <v>26</v>
      </c>
      <c r="E5" s="2" t="s">
        <v>78</v>
      </c>
      <c r="F5" s="7">
        <v>302</v>
      </c>
      <c r="G5" s="8" t="s">
        <v>10</v>
      </c>
      <c r="H5" s="23">
        <v>285</v>
      </c>
      <c r="I5" s="24" t="s">
        <v>10</v>
      </c>
      <c r="J5" s="23">
        <v>263</v>
      </c>
      <c r="K5" s="24" t="s">
        <v>10</v>
      </c>
      <c r="L5" s="103">
        <v>243</v>
      </c>
      <c r="M5" s="103">
        <v>0</v>
      </c>
      <c r="N5" s="111">
        <f>VLOOKUP($B5,Extract_R__18_08_26!$B$2:$H$75,4,FALSE)</f>
        <v>284</v>
      </c>
      <c r="O5" s="111">
        <f>VLOOKUP($B5,Extract_R__18_08_26!$B$2:$H$75,5,FALSE)</f>
        <v>241</v>
      </c>
      <c r="P5" s="111">
        <f>VLOOKUP($B5,Extract_R__18_08_26!$B$2:$H$75,6,FALSE)</f>
        <v>0</v>
      </c>
      <c r="Q5" s="96">
        <v>99.1</v>
      </c>
      <c r="R5" s="96">
        <v>99.2</v>
      </c>
      <c r="S5" s="96">
        <v>110.6</v>
      </c>
      <c r="T5" s="96">
        <v>44.4</v>
      </c>
      <c r="U5" s="96">
        <v>29.9</v>
      </c>
      <c r="V5" s="96">
        <v>33.5</v>
      </c>
      <c r="W5" s="96">
        <v>11.5</v>
      </c>
      <c r="X5" s="96">
        <v>27.6</v>
      </c>
      <c r="Y5" s="96">
        <v>25</v>
      </c>
      <c r="Z5" s="96">
        <v>97</v>
      </c>
      <c r="AA5" s="96">
        <v>113.2</v>
      </c>
      <c r="AB5" s="96">
        <v>108.7</v>
      </c>
      <c r="AC5" s="96">
        <v>6.9</v>
      </c>
      <c r="AD5" s="96">
        <v>4.8</v>
      </c>
      <c r="AE5" s="96">
        <v>6.5</v>
      </c>
      <c r="AF5" s="96">
        <v>1.96</v>
      </c>
      <c r="AG5" s="96">
        <v>2.1</v>
      </c>
      <c r="AH5" s="96">
        <v>1.83</v>
      </c>
      <c r="AI5" s="96">
        <v>24.3</v>
      </c>
      <c r="AJ5" s="96">
        <v>26.8</v>
      </c>
      <c r="AK5" s="96">
        <v>26.4</v>
      </c>
      <c r="AL5" s="96">
        <v>64.400000000000006</v>
      </c>
      <c r="AM5" s="96">
        <v>80.3</v>
      </c>
      <c r="AN5" s="96">
        <v>81.7</v>
      </c>
      <c r="AO5" s="96">
        <v>15.4</v>
      </c>
      <c r="AP5" s="96">
        <v>4.9000000000000004</v>
      </c>
      <c r="AQ5" s="96">
        <v>5.3</v>
      </c>
      <c r="AR5" s="96">
        <v>11.5</v>
      </c>
      <c r="AS5" s="96">
        <v>6</v>
      </c>
      <c r="AT5" s="96">
        <v>3.6</v>
      </c>
      <c r="AU5" s="94">
        <v>73</v>
      </c>
      <c r="AV5" s="94" t="s">
        <v>223</v>
      </c>
      <c r="AW5" s="94">
        <v>84</v>
      </c>
      <c r="AX5" s="94" t="s">
        <v>223</v>
      </c>
      <c r="AY5" s="94">
        <v>93</v>
      </c>
      <c r="AZ5" s="94" t="s">
        <v>223</v>
      </c>
      <c r="BA5" s="94">
        <v>79.7</v>
      </c>
      <c r="BB5" s="94">
        <v>88.3</v>
      </c>
      <c r="BC5" s="94">
        <v>94</v>
      </c>
      <c r="BD5" s="94">
        <v>78.400000000000006</v>
      </c>
      <c r="BE5" s="94">
        <v>88.6</v>
      </c>
      <c r="BF5" s="94">
        <v>93.4</v>
      </c>
      <c r="BG5" s="96">
        <v>77.599999999999994</v>
      </c>
      <c r="BH5" s="7" t="s">
        <v>223</v>
      </c>
      <c r="BI5" s="96">
        <v>89.7</v>
      </c>
      <c r="BJ5" s="96">
        <v>90.1</v>
      </c>
      <c r="BK5" s="96" t="s">
        <v>223</v>
      </c>
      <c r="BL5" s="96" t="s">
        <v>223</v>
      </c>
      <c r="BM5" s="96" t="s">
        <v>223</v>
      </c>
      <c r="BN5" s="98" t="s">
        <v>223</v>
      </c>
      <c r="BO5" s="98" t="s">
        <v>223</v>
      </c>
      <c r="BP5" s="98" t="s">
        <v>223</v>
      </c>
      <c r="BQ5" s="98">
        <v>73.8</v>
      </c>
      <c r="BR5" s="98">
        <v>76.8</v>
      </c>
      <c r="BS5" s="98">
        <v>86.3</v>
      </c>
      <c r="BT5" s="96">
        <v>8.6999999999999993</v>
      </c>
      <c r="BU5" s="96">
        <v>8.3000000000000007</v>
      </c>
      <c r="BV5" s="96">
        <v>6.8</v>
      </c>
      <c r="BW5" s="96">
        <v>49.9</v>
      </c>
      <c r="BX5" s="96">
        <v>48.3</v>
      </c>
      <c r="BY5" s="96">
        <v>47</v>
      </c>
      <c r="BZ5" s="17" t="s">
        <v>58</v>
      </c>
      <c r="CA5" s="96">
        <v>60.456273764258547</v>
      </c>
      <c r="CB5" s="96">
        <v>17.714285714285712</v>
      </c>
      <c r="CC5" s="96">
        <f t="shared" si="0"/>
        <v>23.5</v>
      </c>
      <c r="CD5" s="96">
        <v>58</v>
      </c>
      <c r="CE5" s="96">
        <v>30.6</v>
      </c>
      <c r="CF5" s="96">
        <v>35.700000000000003</v>
      </c>
      <c r="CG5" s="96">
        <v>75</v>
      </c>
      <c r="CH5" s="96">
        <v>42.2</v>
      </c>
      <c r="CI5" s="96">
        <v>48.2</v>
      </c>
    </row>
    <row r="6" spans="1:87" s="2" customFormat="1">
      <c r="A6" s="2" t="s">
        <v>133</v>
      </c>
      <c r="B6" s="2" t="s">
        <v>61</v>
      </c>
      <c r="C6" s="5" t="s">
        <v>15</v>
      </c>
      <c r="D6" s="2" t="s">
        <v>84</v>
      </c>
      <c r="E6" s="2" t="s">
        <v>74</v>
      </c>
      <c r="F6" s="7">
        <v>223</v>
      </c>
      <c r="G6" s="8" t="s">
        <v>10</v>
      </c>
      <c r="H6" s="23">
        <v>207</v>
      </c>
      <c r="I6" s="24" t="s">
        <v>10</v>
      </c>
      <c r="J6" s="23">
        <v>215</v>
      </c>
      <c r="K6" s="23">
        <v>16</v>
      </c>
      <c r="L6" s="103">
        <v>205</v>
      </c>
      <c r="M6" s="103">
        <v>23</v>
      </c>
      <c r="N6" s="111">
        <f>VLOOKUP($B6,Extract_R__18_08_26!$B$2:$H$75,4,FALSE)</f>
        <v>183</v>
      </c>
      <c r="O6" s="111">
        <f>VLOOKUP($B6,Extract_R__18_08_26!$B$2:$H$75,5,FALSE)</f>
        <v>203</v>
      </c>
      <c r="P6" s="111">
        <f>VLOOKUP($B6,Extract_R__18_08_26!$B$2:$H$75,6,FALSE)</f>
        <v>27</v>
      </c>
      <c r="Q6" s="96">
        <v>153.4</v>
      </c>
      <c r="R6" s="96">
        <v>115.5</v>
      </c>
      <c r="S6" s="96">
        <v>110.6</v>
      </c>
      <c r="T6" s="96">
        <v>42.5</v>
      </c>
      <c r="U6" s="96">
        <v>34.6</v>
      </c>
      <c r="V6" s="96">
        <v>33.5</v>
      </c>
      <c r="W6" s="96">
        <v>19.3</v>
      </c>
      <c r="X6" s="96">
        <v>24.2</v>
      </c>
      <c r="Y6" s="96">
        <v>25</v>
      </c>
      <c r="Z6" s="96">
        <v>93.3</v>
      </c>
      <c r="AA6" s="96">
        <v>107</v>
      </c>
      <c r="AB6" s="96">
        <v>108.7</v>
      </c>
      <c r="AC6" s="96">
        <v>7</v>
      </c>
      <c r="AD6" s="96">
        <v>7.2</v>
      </c>
      <c r="AE6" s="96">
        <v>6.5</v>
      </c>
      <c r="AF6" s="96">
        <v>2.0099999999999998</v>
      </c>
      <c r="AG6" s="96">
        <v>1.73</v>
      </c>
      <c r="AH6" s="96">
        <v>1.83</v>
      </c>
      <c r="AI6" s="96">
        <v>22.8</v>
      </c>
      <c r="AJ6" s="96">
        <v>26.3</v>
      </c>
      <c r="AK6" s="96">
        <v>26.4</v>
      </c>
      <c r="AL6" s="96">
        <v>89.8</v>
      </c>
      <c r="AM6" s="96">
        <v>82.2</v>
      </c>
      <c r="AN6" s="96">
        <v>81.7</v>
      </c>
      <c r="AO6" s="96">
        <v>5.0999999999999996</v>
      </c>
      <c r="AP6" s="96">
        <v>5.5</v>
      </c>
      <c r="AQ6" s="96">
        <v>5.3</v>
      </c>
      <c r="AR6" s="96">
        <v>1</v>
      </c>
      <c r="AS6" s="96">
        <v>2.7</v>
      </c>
      <c r="AT6" s="96">
        <v>3.6</v>
      </c>
      <c r="AU6" s="94">
        <v>85</v>
      </c>
      <c r="AV6" s="94" t="s">
        <v>223</v>
      </c>
      <c r="AW6" s="94">
        <v>93</v>
      </c>
      <c r="AX6" s="94" t="s">
        <v>223</v>
      </c>
      <c r="AY6" s="94">
        <v>96</v>
      </c>
      <c r="AZ6" s="94" t="s">
        <v>223</v>
      </c>
      <c r="BA6" s="94">
        <v>77.900000000000006</v>
      </c>
      <c r="BB6" s="94">
        <v>88.8</v>
      </c>
      <c r="BC6" s="94">
        <v>93.1</v>
      </c>
      <c r="BD6" s="94">
        <v>78.400000000000006</v>
      </c>
      <c r="BE6" s="94">
        <v>88.6</v>
      </c>
      <c r="BF6" s="94">
        <v>93.4</v>
      </c>
      <c r="BG6" s="96">
        <v>98.5</v>
      </c>
      <c r="BH6" s="7" t="s">
        <v>223</v>
      </c>
      <c r="BI6" s="96">
        <v>90.3</v>
      </c>
      <c r="BJ6" s="96">
        <v>90.1</v>
      </c>
      <c r="BK6" s="96" t="s">
        <v>223</v>
      </c>
      <c r="BL6" s="96" t="s">
        <v>223</v>
      </c>
      <c r="BM6" s="96" t="s">
        <v>223</v>
      </c>
      <c r="BN6" s="98">
        <v>40.909999999999997</v>
      </c>
      <c r="BO6" s="96">
        <v>53.31</v>
      </c>
      <c r="BP6" s="96">
        <v>53.31</v>
      </c>
      <c r="BQ6" s="98">
        <v>68.900000000000006</v>
      </c>
      <c r="BR6" s="98">
        <v>88.9</v>
      </c>
      <c r="BS6" s="98">
        <v>86.3</v>
      </c>
      <c r="BT6" s="96">
        <v>2.9</v>
      </c>
      <c r="BU6" s="96">
        <v>6.3</v>
      </c>
      <c r="BV6" s="96">
        <v>6.8</v>
      </c>
      <c r="BW6" s="96">
        <v>44.7</v>
      </c>
      <c r="BX6" s="96">
        <v>46.7</v>
      </c>
      <c r="BY6" s="96">
        <v>47</v>
      </c>
      <c r="BZ6" s="17" t="s">
        <v>61</v>
      </c>
      <c r="CA6" s="96">
        <v>95.348837209302332</v>
      </c>
      <c r="CB6" s="96">
        <v>25.560747663551403</v>
      </c>
      <c r="CC6" s="96">
        <f t="shared" si="0"/>
        <v>23.5</v>
      </c>
      <c r="CD6" s="96">
        <v>46.3</v>
      </c>
      <c r="CE6" s="96">
        <v>37.6</v>
      </c>
      <c r="CF6" s="96">
        <v>35.700000000000003</v>
      </c>
      <c r="CG6" s="96">
        <v>48.8</v>
      </c>
      <c r="CH6" s="96">
        <v>50.4</v>
      </c>
      <c r="CI6" s="96">
        <v>48.2</v>
      </c>
    </row>
    <row r="7" spans="1:87" s="2" customFormat="1">
      <c r="A7" s="2" t="s">
        <v>134</v>
      </c>
      <c r="B7" s="2" t="s">
        <v>64</v>
      </c>
      <c r="C7" s="2" t="s">
        <v>69</v>
      </c>
      <c r="D7" s="2" t="s">
        <v>81</v>
      </c>
      <c r="E7" s="2" t="s">
        <v>76</v>
      </c>
      <c r="F7" s="7">
        <v>454</v>
      </c>
      <c r="G7" s="8" t="s">
        <v>10</v>
      </c>
      <c r="H7" s="23">
        <v>450</v>
      </c>
      <c r="I7" s="23">
        <v>89</v>
      </c>
      <c r="J7" s="23">
        <v>442</v>
      </c>
      <c r="K7" s="23">
        <v>83</v>
      </c>
      <c r="L7" s="103">
        <v>425</v>
      </c>
      <c r="M7" s="103">
        <v>100</v>
      </c>
      <c r="N7" s="111">
        <f>VLOOKUP($B7,Extract_R__18_08_26!$B$2:$H$75,4,FALSE)</f>
        <v>0</v>
      </c>
      <c r="O7" s="111">
        <f>VLOOKUP($B7,Extract_R__18_08_26!$B$2:$H$75,5,FALSE)</f>
        <v>415</v>
      </c>
      <c r="P7" s="111">
        <f>VLOOKUP($B7,Extract_R__18_08_26!$B$2:$H$75,6,FALSE)</f>
        <v>91</v>
      </c>
      <c r="Q7" s="96">
        <v>101.3</v>
      </c>
      <c r="R7" s="96">
        <v>99.2</v>
      </c>
      <c r="S7" s="96">
        <v>110.6</v>
      </c>
      <c r="T7" s="96">
        <v>44.2</v>
      </c>
      <c r="U7" s="96">
        <v>29.9</v>
      </c>
      <c r="V7" s="96">
        <v>33.5</v>
      </c>
      <c r="W7" s="96">
        <v>16.399999999999999</v>
      </c>
      <c r="X7" s="96">
        <v>27.6</v>
      </c>
      <c r="Y7" s="96">
        <v>25</v>
      </c>
      <c r="Z7" s="96">
        <v>98.3</v>
      </c>
      <c r="AA7" s="96">
        <v>113.2</v>
      </c>
      <c r="AB7" s="96">
        <v>108.7</v>
      </c>
      <c r="AC7" s="96">
        <v>5.3</v>
      </c>
      <c r="AD7" s="96">
        <v>4.8</v>
      </c>
      <c r="AE7" s="96">
        <v>6.5</v>
      </c>
      <c r="AF7" s="96">
        <v>2.36</v>
      </c>
      <c r="AG7" s="96">
        <v>2.1</v>
      </c>
      <c r="AH7" s="96">
        <v>1.83</v>
      </c>
      <c r="AI7" s="96">
        <v>25</v>
      </c>
      <c r="AJ7" s="96">
        <v>26.8</v>
      </c>
      <c r="AK7" s="96">
        <v>26.4</v>
      </c>
      <c r="AL7" s="96">
        <v>81</v>
      </c>
      <c r="AM7" s="96">
        <v>80.3</v>
      </c>
      <c r="AN7" s="96">
        <v>81.7</v>
      </c>
      <c r="AO7" s="96">
        <v>5.4</v>
      </c>
      <c r="AP7" s="96">
        <v>4.9000000000000004</v>
      </c>
      <c r="AQ7" s="96">
        <v>5.3</v>
      </c>
      <c r="AR7" s="96">
        <v>6.1</v>
      </c>
      <c r="AS7" s="96">
        <v>6</v>
      </c>
      <c r="AT7" s="96">
        <v>3.6</v>
      </c>
      <c r="AU7" s="94">
        <v>79</v>
      </c>
      <c r="AV7" s="94" t="s">
        <v>223</v>
      </c>
      <c r="AW7" s="94">
        <v>85</v>
      </c>
      <c r="AX7" s="94" t="s">
        <v>223</v>
      </c>
      <c r="AY7" s="94">
        <v>91</v>
      </c>
      <c r="AZ7" s="94" t="s">
        <v>223</v>
      </c>
      <c r="BA7" s="94">
        <v>79.7</v>
      </c>
      <c r="BB7" s="94">
        <v>88.3</v>
      </c>
      <c r="BC7" s="94">
        <v>94</v>
      </c>
      <c r="BD7" s="94">
        <v>78.400000000000006</v>
      </c>
      <c r="BE7" s="94">
        <v>88.6</v>
      </c>
      <c r="BF7" s="94">
        <v>93.4</v>
      </c>
      <c r="BG7" s="96">
        <v>81.5</v>
      </c>
      <c r="BH7" s="7" t="s">
        <v>223</v>
      </c>
      <c r="BI7" s="96">
        <v>89.7</v>
      </c>
      <c r="BJ7" s="96">
        <v>90.1</v>
      </c>
      <c r="BK7" s="96">
        <v>67.599999999999994</v>
      </c>
      <c r="BL7" s="96">
        <v>64.099999999999994</v>
      </c>
      <c r="BM7" s="96">
        <v>68</v>
      </c>
      <c r="BN7" s="98" t="s">
        <v>223</v>
      </c>
      <c r="BO7" s="98" t="s">
        <v>223</v>
      </c>
      <c r="BP7" s="98" t="s">
        <v>223</v>
      </c>
      <c r="BQ7" s="98">
        <v>79.5</v>
      </c>
      <c r="BR7" s="98">
        <v>76.8</v>
      </c>
      <c r="BS7" s="98">
        <v>86.3</v>
      </c>
      <c r="BT7" s="96">
        <v>7.7</v>
      </c>
      <c r="BU7" s="96">
        <v>8.3000000000000007</v>
      </c>
      <c r="BV7" s="96">
        <v>6.8</v>
      </c>
      <c r="BW7" s="96">
        <v>46.4</v>
      </c>
      <c r="BX7" s="96">
        <v>48.3</v>
      </c>
      <c r="BY7" s="96">
        <v>47</v>
      </c>
      <c r="BZ7" s="17" t="s">
        <v>64</v>
      </c>
      <c r="CA7" s="96">
        <v>17.647058823529413</v>
      </c>
      <c r="CB7" s="96">
        <v>17.714285714285712</v>
      </c>
      <c r="CC7" s="96">
        <f t="shared" si="0"/>
        <v>23.5</v>
      </c>
      <c r="CD7" s="96">
        <v>49.6</v>
      </c>
      <c r="CE7" s="96">
        <v>30.6</v>
      </c>
      <c r="CF7" s="96">
        <v>35.700000000000003</v>
      </c>
      <c r="CG7" s="96">
        <v>57.7</v>
      </c>
      <c r="CH7" s="96">
        <v>42.2</v>
      </c>
      <c r="CI7" s="96">
        <v>48.2</v>
      </c>
    </row>
    <row r="8" spans="1:87" s="2" customFormat="1">
      <c r="A8" s="2" t="s">
        <v>135</v>
      </c>
      <c r="B8" s="2" t="s">
        <v>65</v>
      </c>
      <c r="C8" s="5" t="s">
        <v>15</v>
      </c>
      <c r="D8" s="2" t="s">
        <v>79</v>
      </c>
      <c r="E8" s="2" t="s">
        <v>73</v>
      </c>
      <c r="F8" s="7">
        <v>307</v>
      </c>
      <c r="G8" s="8" t="s">
        <v>10</v>
      </c>
      <c r="H8" s="23">
        <v>210</v>
      </c>
      <c r="I8" s="23">
        <v>27</v>
      </c>
      <c r="J8" s="23">
        <v>217</v>
      </c>
      <c r="K8" s="23">
        <v>26</v>
      </c>
      <c r="L8" s="103">
        <v>212</v>
      </c>
      <c r="M8" s="103">
        <v>30</v>
      </c>
      <c r="N8" s="111">
        <f>VLOOKUP($B8,Extract_R__18_08_26!$B$2:$H$75,4,FALSE)</f>
        <v>0</v>
      </c>
      <c r="O8" s="111">
        <f>VLOOKUP($B8,Extract_R__18_08_26!$B$2:$H$75,5,FALSE)</f>
        <v>210</v>
      </c>
      <c r="P8" s="111">
        <f>VLOOKUP($B8,Extract_R__18_08_26!$B$2:$H$75,6,FALSE)</f>
        <v>28</v>
      </c>
      <c r="Q8" s="96">
        <v>137.5</v>
      </c>
      <c r="R8" s="96">
        <v>115.5</v>
      </c>
      <c r="S8" s="96">
        <v>110.6</v>
      </c>
      <c r="T8" s="96">
        <v>60.3</v>
      </c>
      <c r="U8" s="96">
        <v>34.6</v>
      </c>
      <c r="V8" s="96">
        <v>33.5</v>
      </c>
      <c r="W8" s="96">
        <v>14.9</v>
      </c>
      <c r="X8" s="96">
        <v>24.2</v>
      </c>
      <c r="Y8" s="96">
        <v>25</v>
      </c>
      <c r="Z8" s="96">
        <v>90.6</v>
      </c>
      <c r="AA8" s="96">
        <v>107</v>
      </c>
      <c r="AB8" s="96">
        <v>108.7</v>
      </c>
      <c r="AC8" s="96">
        <v>9.3000000000000007</v>
      </c>
      <c r="AD8" s="96">
        <v>7.2</v>
      </c>
      <c r="AE8" s="96">
        <v>6.5</v>
      </c>
      <c r="AF8" s="96">
        <v>2.0699999999999998</v>
      </c>
      <c r="AG8" s="96">
        <v>1.73</v>
      </c>
      <c r="AH8" s="96">
        <v>1.83</v>
      </c>
      <c r="AI8" s="96">
        <v>21.2</v>
      </c>
      <c r="AJ8" s="96">
        <v>26.3</v>
      </c>
      <c r="AK8" s="96">
        <v>26.4</v>
      </c>
      <c r="AL8" s="96">
        <v>81.8</v>
      </c>
      <c r="AM8" s="96">
        <v>82.2</v>
      </c>
      <c r="AN8" s="96">
        <v>81.7</v>
      </c>
      <c r="AO8" s="96">
        <v>5.7</v>
      </c>
      <c r="AP8" s="96">
        <v>5.5</v>
      </c>
      <c r="AQ8" s="96">
        <v>5.3</v>
      </c>
      <c r="AR8" s="96">
        <v>3.4</v>
      </c>
      <c r="AS8" s="96">
        <v>2.7</v>
      </c>
      <c r="AT8" s="96">
        <v>3.6</v>
      </c>
      <c r="AU8" s="94">
        <v>85</v>
      </c>
      <c r="AV8" s="94" t="s">
        <v>223</v>
      </c>
      <c r="AW8" s="94">
        <v>95</v>
      </c>
      <c r="AX8" s="94" t="s">
        <v>223</v>
      </c>
      <c r="AY8" s="94">
        <v>97</v>
      </c>
      <c r="AZ8" s="94" t="s">
        <v>223</v>
      </c>
      <c r="BA8" s="94">
        <v>77.900000000000006</v>
      </c>
      <c r="BB8" s="94">
        <v>88.8</v>
      </c>
      <c r="BC8" s="94">
        <v>93.1</v>
      </c>
      <c r="BD8" s="94">
        <v>78.400000000000006</v>
      </c>
      <c r="BE8" s="94">
        <v>88.6</v>
      </c>
      <c r="BF8" s="94">
        <v>93.4</v>
      </c>
      <c r="BG8" s="96">
        <v>91.7</v>
      </c>
      <c r="BH8" s="7" t="s">
        <v>223</v>
      </c>
      <c r="BI8" s="96">
        <v>90.3</v>
      </c>
      <c r="BJ8" s="96">
        <v>90.1</v>
      </c>
      <c r="BK8" s="96">
        <v>80</v>
      </c>
      <c r="BL8" s="96">
        <v>69.7</v>
      </c>
      <c r="BM8" s="96">
        <v>68</v>
      </c>
      <c r="BN8" s="98">
        <v>48.48</v>
      </c>
      <c r="BO8" s="96">
        <v>53.31</v>
      </c>
      <c r="BP8" s="96">
        <v>53.31</v>
      </c>
      <c r="BQ8" s="98">
        <v>84.2</v>
      </c>
      <c r="BR8" s="98">
        <v>88.9</v>
      </c>
      <c r="BS8" s="98">
        <v>86.3</v>
      </c>
      <c r="BT8" s="96">
        <v>4.8</v>
      </c>
      <c r="BU8" s="96">
        <v>6.3</v>
      </c>
      <c r="BV8" s="96">
        <v>6.8</v>
      </c>
      <c r="BW8" s="96">
        <v>47.3</v>
      </c>
      <c r="BX8" s="96">
        <v>46.7</v>
      </c>
      <c r="BY8" s="96">
        <v>47</v>
      </c>
      <c r="BZ8" s="17" t="s">
        <v>65</v>
      </c>
      <c r="CA8" s="96">
        <v>49.308755760368662</v>
      </c>
      <c r="CB8" s="96">
        <v>25.560747663551403</v>
      </c>
      <c r="CC8" s="96">
        <f t="shared" si="0"/>
        <v>23.5</v>
      </c>
      <c r="CD8" s="96">
        <v>51.2</v>
      </c>
      <c r="CE8" s="96">
        <v>37.6</v>
      </c>
      <c r="CF8" s="96">
        <v>35.700000000000003</v>
      </c>
      <c r="CG8" s="96">
        <v>80.5</v>
      </c>
      <c r="CH8" s="96">
        <v>50.4</v>
      </c>
      <c r="CI8" s="96">
        <v>48.2</v>
      </c>
    </row>
    <row r="9" spans="1:87" s="2" customFormat="1">
      <c r="A9" s="2" t="s">
        <v>218</v>
      </c>
      <c r="B9" s="2" t="s">
        <v>66</v>
      </c>
      <c r="C9" s="5" t="s">
        <v>15</v>
      </c>
      <c r="D9" s="2" t="s">
        <v>86</v>
      </c>
      <c r="E9" s="2" t="s">
        <v>73</v>
      </c>
      <c r="F9" s="7">
        <v>1421</v>
      </c>
      <c r="G9" s="7">
        <v>260</v>
      </c>
      <c r="H9" s="23">
        <v>1381</v>
      </c>
      <c r="I9" s="23">
        <v>339</v>
      </c>
      <c r="J9" s="23">
        <v>1221</v>
      </c>
      <c r="K9" s="23">
        <v>317</v>
      </c>
      <c r="L9" s="103">
        <v>1268</v>
      </c>
      <c r="M9" s="103">
        <v>297</v>
      </c>
      <c r="N9" s="111">
        <f>VLOOKUP($B9,Extract_R__18_08_26!$B$2:$H$75,4,FALSE)</f>
        <v>15</v>
      </c>
      <c r="O9" s="111">
        <f>VLOOKUP($B9,Extract_R__18_08_26!$B$2:$H$75,5,FALSE)</f>
        <v>1238</v>
      </c>
      <c r="P9" s="111">
        <f>VLOOKUP($B9,Extract_R__18_08_26!$B$2:$H$75,6,FALSE)</f>
        <v>276</v>
      </c>
      <c r="Q9" s="96">
        <v>100.1</v>
      </c>
      <c r="R9" s="96">
        <v>115.5</v>
      </c>
      <c r="S9" s="96">
        <v>110.6</v>
      </c>
      <c r="T9" s="96">
        <v>36.700000000000003</v>
      </c>
      <c r="U9" s="96">
        <v>34.6</v>
      </c>
      <c r="V9" s="96">
        <v>33.5</v>
      </c>
      <c r="W9" s="96">
        <v>19.2</v>
      </c>
      <c r="X9" s="96">
        <v>24.2</v>
      </c>
      <c r="Y9" s="96">
        <v>25</v>
      </c>
      <c r="Z9" s="96">
        <v>103.3</v>
      </c>
      <c r="AA9" s="96">
        <v>107</v>
      </c>
      <c r="AB9" s="96">
        <v>108.7</v>
      </c>
      <c r="AC9" s="96">
        <v>7</v>
      </c>
      <c r="AD9" s="96">
        <v>7.2</v>
      </c>
      <c r="AE9" s="96">
        <v>6.5</v>
      </c>
      <c r="AF9" s="96">
        <v>1.52</v>
      </c>
      <c r="AG9" s="96">
        <v>1.73</v>
      </c>
      <c r="AH9" s="96">
        <v>1.83</v>
      </c>
      <c r="AI9" s="96">
        <v>29.5</v>
      </c>
      <c r="AJ9" s="96">
        <v>26.3</v>
      </c>
      <c r="AK9" s="96">
        <v>26.4</v>
      </c>
      <c r="AL9" s="96">
        <v>88.8</v>
      </c>
      <c r="AM9" s="96">
        <v>82.2</v>
      </c>
      <c r="AN9" s="96">
        <v>81.7</v>
      </c>
      <c r="AO9" s="96">
        <v>3.3</v>
      </c>
      <c r="AP9" s="96">
        <v>5.5</v>
      </c>
      <c r="AQ9" s="96">
        <v>5.3</v>
      </c>
      <c r="AR9" s="96">
        <v>2.1</v>
      </c>
      <c r="AS9" s="96">
        <v>2.7</v>
      </c>
      <c r="AT9" s="96">
        <v>3.6</v>
      </c>
      <c r="AU9" s="94">
        <v>72</v>
      </c>
      <c r="AV9" s="94" t="s">
        <v>223</v>
      </c>
      <c r="AW9" s="94">
        <v>83</v>
      </c>
      <c r="AX9" s="94" t="s">
        <v>223</v>
      </c>
      <c r="AY9" s="94">
        <v>93</v>
      </c>
      <c r="AZ9" s="94" t="s">
        <v>223</v>
      </c>
      <c r="BA9" s="94">
        <v>77.900000000000006</v>
      </c>
      <c r="BB9" s="94">
        <v>88.8</v>
      </c>
      <c r="BC9" s="94">
        <v>93.1</v>
      </c>
      <c r="BD9" s="94">
        <v>78.400000000000006</v>
      </c>
      <c r="BE9" s="94">
        <v>88.6</v>
      </c>
      <c r="BF9" s="94">
        <v>93.4</v>
      </c>
      <c r="BG9" s="96">
        <v>87.7</v>
      </c>
      <c r="BH9" s="7" t="s">
        <v>223</v>
      </c>
      <c r="BI9" s="96">
        <v>90.3</v>
      </c>
      <c r="BJ9" s="96">
        <v>90.1</v>
      </c>
      <c r="BK9" s="96">
        <v>65.599999999999994</v>
      </c>
      <c r="BL9" s="96">
        <v>69.7</v>
      </c>
      <c r="BM9" s="96">
        <v>68</v>
      </c>
      <c r="BN9" s="98">
        <v>51.59</v>
      </c>
      <c r="BO9" s="96">
        <v>53.31</v>
      </c>
      <c r="BP9" s="96">
        <v>53.31</v>
      </c>
      <c r="BQ9" s="98">
        <v>93.9</v>
      </c>
      <c r="BR9" s="98">
        <v>88.9</v>
      </c>
      <c r="BS9" s="98">
        <v>86.3</v>
      </c>
      <c r="BT9" s="96">
        <v>7.5</v>
      </c>
      <c r="BU9" s="96">
        <v>6.3</v>
      </c>
      <c r="BV9" s="96">
        <v>6.8</v>
      </c>
      <c r="BW9" s="96">
        <v>47.3</v>
      </c>
      <c r="BX9" s="96">
        <v>46.7</v>
      </c>
      <c r="BY9" s="96">
        <v>47</v>
      </c>
      <c r="BZ9" s="17" t="s">
        <v>66</v>
      </c>
      <c r="CA9" s="96">
        <v>15.642915642915641</v>
      </c>
      <c r="CB9" s="96">
        <v>25.560747663551403</v>
      </c>
      <c r="CC9" s="96">
        <f t="shared" si="0"/>
        <v>23.5</v>
      </c>
      <c r="CD9" s="96">
        <v>40.299999999999997</v>
      </c>
      <c r="CE9" s="96">
        <v>37.6</v>
      </c>
      <c r="CF9" s="96">
        <v>35.700000000000003</v>
      </c>
      <c r="CG9" s="96">
        <v>50.9</v>
      </c>
      <c r="CH9" s="96">
        <v>50.4</v>
      </c>
      <c r="CI9" s="96">
        <v>48.2</v>
      </c>
    </row>
    <row r="10" spans="1:87" s="2" customFormat="1">
      <c r="A10" s="2" t="s">
        <v>202</v>
      </c>
      <c r="B10" s="2" t="s">
        <v>67</v>
      </c>
      <c r="C10" s="5" t="s">
        <v>15</v>
      </c>
      <c r="D10" s="2" t="s">
        <v>87</v>
      </c>
      <c r="E10" s="2" t="s">
        <v>74</v>
      </c>
      <c r="F10" s="7">
        <v>166</v>
      </c>
      <c r="G10" s="8" t="s">
        <v>10</v>
      </c>
      <c r="H10" s="23">
        <v>381</v>
      </c>
      <c r="I10" s="24">
        <v>57</v>
      </c>
      <c r="J10" s="23">
        <v>386</v>
      </c>
      <c r="K10" s="23">
        <v>54</v>
      </c>
      <c r="L10" s="103">
        <v>368</v>
      </c>
      <c r="M10" s="103">
        <v>57</v>
      </c>
      <c r="N10" s="111">
        <f>VLOOKUP($B10,Extract_R__18_08_26!$B$2:$H$75,4,FALSE)</f>
        <v>180</v>
      </c>
      <c r="O10" s="111">
        <f>VLOOKUP($B10,Extract_R__18_08_26!$B$2:$H$75,5,FALSE)</f>
        <v>365</v>
      </c>
      <c r="P10" s="111">
        <f>VLOOKUP($B10,Extract_R__18_08_26!$B$2:$H$75,6,FALSE)</f>
        <v>55</v>
      </c>
      <c r="Q10" s="96">
        <v>123.6</v>
      </c>
      <c r="R10" s="96">
        <v>115.5</v>
      </c>
      <c r="S10" s="96">
        <v>110.6</v>
      </c>
      <c r="T10" s="96">
        <v>42.4</v>
      </c>
      <c r="U10" s="96">
        <v>34.6</v>
      </c>
      <c r="V10" s="96">
        <v>33.5</v>
      </c>
      <c r="W10" s="96">
        <v>17.2</v>
      </c>
      <c r="X10" s="96">
        <v>24.2</v>
      </c>
      <c r="Y10" s="96">
        <v>25</v>
      </c>
      <c r="Z10" s="96">
        <v>98.9</v>
      </c>
      <c r="AA10" s="96">
        <v>107</v>
      </c>
      <c r="AB10" s="96">
        <v>108.7</v>
      </c>
      <c r="AC10" s="96">
        <v>5.6</v>
      </c>
      <c r="AD10" s="96">
        <v>7.2</v>
      </c>
      <c r="AE10" s="96">
        <v>6.5</v>
      </c>
      <c r="AF10" s="96">
        <v>2</v>
      </c>
      <c r="AG10" s="96">
        <v>1.73</v>
      </c>
      <c r="AH10" s="96">
        <v>1.83</v>
      </c>
      <c r="AI10" s="96">
        <v>24.5</v>
      </c>
      <c r="AJ10" s="96">
        <v>26.3</v>
      </c>
      <c r="AK10" s="96">
        <v>26.4</v>
      </c>
      <c r="AL10" s="96">
        <v>72.3</v>
      </c>
      <c r="AM10" s="96">
        <v>82.2</v>
      </c>
      <c r="AN10" s="96">
        <v>81.7</v>
      </c>
      <c r="AO10" s="96">
        <v>4.5</v>
      </c>
      <c r="AP10" s="96">
        <v>5.5</v>
      </c>
      <c r="AQ10" s="96">
        <v>5.3</v>
      </c>
      <c r="AR10" s="96">
        <v>3.2</v>
      </c>
      <c r="AS10" s="96">
        <v>2.7</v>
      </c>
      <c r="AT10" s="96">
        <v>3.6</v>
      </c>
      <c r="AU10" s="94">
        <v>73</v>
      </c>
      <c r="AV10" s="94" t="s">
        <v>223</v>
      </c>
      <c r="AW10" s="94">
        <v>94</v>
      </c>
      <c r="AX10" s="94" t="s">
        <v>223</v>
      </c>
      <c r="AY10" s="94">
        <v>99</v>
      </c>
      <c r="AZ10" s="94" t="s">
        <v>223</v>
      </c>
      <c r="BA10" s="94">
        <v>77.900000000000006</v>
      </c>
      <c r="BB10" s="94">
        <v>88.8</v>
      </c>
      <c r="BC10" s="94">
        <v>93.1</v>
      </c>
      <c r="BD10" s="94">
        <v>78.400000000000006</v>
      </c>
      <c r="BE10" s="94">
        <v>88.6</v>
      </c>
      <c r="BF10" s="94">
        <v>93.4</v>
      </c>
      <c r="BG10" s="96">
        <v>88</v>
      </c>
      <c r="BH10" s="7" t="s">
        <v>223</v>
      </c>
      <c r="BI10" s="96">
        <v>90.3</v>
      </c>
      <c r="BJ10" s="96">
        <v>90.1</v>
      </c>
      <c r="BK10" s="96">
        <v>48.3</v>
      </c>
      <c r="BL10" s="96">
        <v>69.7</v>
      </c>
      <c r="BM10" s="96">
        <v>68</v>
      </c>
      <c r="BN10" s="98">
        <v>39.19</v>
      </c>
      <c r="BO10" s="96">
        <v>53.31</v>
      </c>
      <c r="BP10" s="96">
        <v>53.31</v>
      </c>
      <c r="BQ10" s="98">
        <v>85.4</v>
      </c>
      <c r="BR10" s="98">
        <v>88.9</v>
      </c>
      <c r="BS10" s="98">
        <v>86.3</v>
      </c>
      <c r="BT10" s="96">
        <v>3.4</v>
      </c>
      <c r="BU10" s="96">
        <v>6.3</v>
      </c>
      <c r="BV10" s="96">
        <v>6.8</v>
      </c>
      <c r="BW10" s="96">
        <v>42.8</v>
      </c>
      <c r="BX10" s="96">
        <v>46.7</v>
      </c>
      <c r="BY10" s="96">
        <v>47</v>
      </c>
      <c r="BZ10" s="17" t="s">
        <v>67</v>
      </c>
      <c r="CA10" s="96">
        <v>36.865342163355407</v>
      </c>
      <c r="CB10" s="96">
        <v>25.560747663551403</v>
      </c>
      <c r="CC10" s="96">
        <f t="shared" si="0"/>
        <v>23.5</v>
      </c>
      <c r="CD10" s="96">
        <v>64.900000000000006</v>
      </c>
      <c r="CE10" s="96">
        <v>37.6</v>
      </c>
      <c r="CF10" s="96">
        <v>35.700000000000003</v>
      </c>
      <c r="CG10" s="96">
        <v>64.7</v>
      </c>
      <c r="CH10" s="96">
        <v>50.4</v>
      </c>
      <c r="CI10" s="96">
        <v>48.2</v>
      </c>
    </row>
    <row r="11" spans="1:87" s="2" customFormat="1">
      <c r="A11" s="2" t="s">
        <v>137</v>
      </c>
      <c r="B11" s="2" t="s">
        <v>68</v>
      </c>
      <c r="C11" s="5" t="s">
        <v>15</v>
      </c>
      <c r="D11" s="2" t="s">
        <v>80</v>
      </c>
      <c r="E11" s="2" t="s">
        <v>74</v>
      </c>
      <c r="F11" s="8" t="s">
        <v>10</v>
      </c>
      <c r="G11" s="8" t="s">
        <v>10</v>
      </c>
      <c r="H11" s="23">
        <v>453</v>
      </c>
      <c r="I11" s="24">
        <v>103</v>
      </c>
      <c r="J11" s="23">
        <v>397</v>
      </c>
      <c r="K11" s="23">
        <v>109</v>
      </c>
      <c r="L11" s="103">
        <v>398</v>
      </c>
      <c r="M11" s="103">
        <v>110</v>
      </c>
      <c r="N11" s="111">
        <f>VLOOKUP($B11,Extract_R__18_08_26!$B$2:$H$75,4,FALSE)</f>
        <v>231</v>
      </c>
      <c r="O11" s="111">
        <f>VLOOKUP($B11,Extract_R__18_08_26!$B$2:$H$75,5,FALSE)</f>
        <v>390</v>
      </c>
      <c r="P11" s="111">
        <f>VLOOKUP($B11,Extract_R__18_08_26!$B$2:$H$75,6,FALSE)</f>
        <v>105</v>
      </c>
      <c r="Q11" s="96">
        <v>99.5</v>
      </c>
      <c r="R11" s="96">
        <v>115.5</v>
      </c>
      <c r="S11" s="96">
        <v>110.6</v>
      </c>
      <c r="T11" s="96">
        <v>41.8</v>
      </c>
      <c r="U11" s="96">
        <v>34.6</v>
      </c>
      <c r="V11" s="96">
        <v>33.5</v>
      </c>
      <c r="W11" s="96">
        <v>19.600000000000001</v>
      </c>
      <c r="X11" s="96">
        <v>24.2</v>
      </c>
      <c r="Y11" s="96">
        <v>25</v>
      </c>
      <c r="Z11" s="96">
        <v>100.8</v>
      </c>
      <c r="AA11" s="96">
        <v>107</v>
      </c>
      <c r="AB11" s="96">
        <v>108.7</v>
      </c>
      <c r="AC11" s="96">
        <v>7.7</v>
      </c>
      <c r="AD11" s="96">
        <v>7.2</v>
      </c>
      <c r="AE11" s="96">
        <v>6.5</v>
      </c>
      <c r="AF11" s="96">
        <v>1.85</v>
      </c>
      <c r="AG11" s="96">
        <v>1.73</v>
      </c>
      <c r="AH11" s="96">
        <v>1.83</v>
      </c>
      <c r="AI11" s="96">
        <v>24.9</v>
      </c>
      <c r="AJ11" s="96">
        <v>26.3</v>
      </c>
      <c r="AK11" s="96">
        <v>26.4</v>
      </c>
      <c r="AL11" s="96">
        <v>79.099999999999994</v>
      </c>
      <c r="AM11" s="96">
        <v>82.2</v>
      </c>
      <c r="AN11" s="96">
        <v>81.7</v>
      </c>
      <c r="AO11" s="96">
        <v>10.1</v>
      </c>
      <c r="AP11" s="96">
        <v>5.5</v>
      </c>
      <c r="AQ11" s="96">
        <v>5.3</v>
      </c>
      <c r="AR11" s="96">
        <v>0</v>
      </c>
      <c r="AS11" s="96">
        <v>2.7</v>
      </c>
      <c r="AT11" s="96">
        <v>3.6</v>
      </c>
      <c r="AU11" s="94">
        <v>73</v>
      </c>
      <c r="AV11" s="94" t="s">
        <v>223</v>
      </c>
      <c r="AW11" s="94">
        <v>87</v>
      </c>
      <c r="AX11" s="94" t="s">
        <v>223</v>
      </c>
      <c r="AY11" s="94">
        <v>96</v>
      </c>
      <c r="AZ11" s="94" t="s">
        <v>223</v>
      </c>
      <c r="BA11" s="94">
        <v>77.900000000000006</v>
      </c>
      <c r="BB11" s="94">
        <v>88.8</v>
      </c>
      <c r="BC11" s="94">
        <v>93.1</v>
      </c>
      <c r="BD11" s="94">
        <v>78.400000000000006</v>
      </c>
      <c r="BE11" s="94">
        <v>88.6</v>
      </c>
      <c r="BF11" s="94">
        <v>93.4</v>
      </c>
      <c r="BG11" s="96">
        <v>88.9</v>
      </c>
      <c r="BH11" s="7" t="s">
        <v>223</v>
      </c>
      <c r="BI11" s="96">
        <v>90.3</v>
      </c>
      <c r="BJ11" s="96">
        <v>90.1</v>
      </c>
      <c r="BK11" s="96">
        <v>58.3</v>
      </c>
      <c r="BL11" s="96">
        <v>69.7</v>
      </c>
      <c r="BM11" s="96">
        <v>68</v>
      </c>
      <c r="BN11" s="98">
        <v>54.95</v>
      </c>
      <c r="BO11" s="96">
        <v>53.31</v>
      </c>
      <c r="BP11" s="96">
        <v>53.31</v>
      </c>
      <c r="BQ11" s="98">
        <v>87.9</v>
      </c>
      <c r="BR11" s="98">
        <v>88.9</v>
      </c>
      <c r="BS11" s="98">
        <v>86.3</v>
      </c>
      <c r="BT11" s="96">
        <v>4.3</v>
      </c>
      <c r="BU11" s="96">
        <v>6.3</v>
      </c>
      <c r="BV11" s="96">
        <v>6.8</v>
      </c>
      <c r="BW11" s="96">
        <v>45</v>
      </c>
      <c r="BX11" s="96">
        <v>46.7</v>
      </c>
      <c r="BY11" s="96">
        <v>47</v>
      </c>
      <c r="BZ11" s="17" t="s">
        <v>68</v>
      </c>
      <c r="CA11" s="96">
        <v>36.775818639798494</v>
      </c>
      <c r="CB11" s="96">
        <v>25.560747663551403</v>
      </c>
      <c r="CC11" s="96">
        <f t="shared" si="0"/>
        <v>23.5</v>
      </c>
      <c r="CD11" s="96">
        <v>37.9</v>
      </c>
      <c r="CE11" s="96">
        <v>37.6</v>
      </c>
      <c r="CF11" s="96">
        <v>35.700000000000003</v>
      </c>
      <c r="CG11" s="96">
        <v>59.4</v>
      </c>
      <c r="CH11" s="96">
        <v>50.4</v>
      </c>
      <c r="CI11" s="96">
        <v>48.2</v>
      </c>
    </row>
    <row r="12" spans="1:87" s="2" customFormat="1">
      <c r="O12" s="3"/>
      <c r="Q12" s="16"/>
      <c r="R12" s="15"/>
      <c r="S12" s="15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17"/>
      <c r="AJ12" s="17"/>
      <c r="AK12" s="17"/>
      <c r="AL12" s="15"/>
      <c r="AM12" s="15"/>
      <c r="AN12" s="15"/>
      <c r="AO12" s="15"/>
      <c r="AP12" s="15"/>
      <c r="AQ12" s="15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15"/>
      <c r="BH12" s="7"/>
      <c r="BI12" s="15"/>
      <c r="BJ12" s="15"/>
      <c r="BK12" s="15"/>
      <c r="BL12" s="15"/>
      <c r="BM12" s="15"/>
      <c r="BN12" s="15"/>
      <c r="BO12" s="15"/>
      <c r="BP12" s="15"/>
      <c r="BQ12" s="7"/>
      <c r="BR12" s="7"/>
      <c r="BS12" s="7"/>
      <c r="BT12" s="7"/>
      <c r="BU12" s="7"/>
      <c r="BV12" s="7"/>
      <c r="BW12" s="7"/>
      <c r="BX12" s="17"/>
      <c r="BY12" s="7"/>
      <c r="BZ12" s="7"/>
      <c r="CD12" s="16"/>
      <c r="CE12" s="16"/>
      <c r="CF12" s="16"/>
      <c r="CG12" s="16"/>
      <c r="CH12" s="16"/>
      <c r="CI12" s="16"/>
    </row>
    <row r="13" spans="1:87" s="2" customFormat="1">
      <c r="O13" s="3"/>
      <c r="Q13" s="16"/>
      <c r="R13" s="15"/>
      <c r="S13" s="15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17"/>
      <c r="AJ13" s="17"/>
      <c r="AK13" s="17"/>
      <c r="AL13" s="15"/>
      <c r="AM13" s="15"/>
      <c r="AN13" s="15"/>
      <c r="AO13" s="15"/>
      <c r="AP13" s="15"/>
      <c r="AQ13" s="15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15"/>
      <c r="BH13" s="7"/>
      <c r="BI13" s="15"/>
      <c r="BJ13" s="15"/>
      <c r="BK13" s="15"/>
      <c r="BL13" s="15"/>
      <c r="BM13" s="15"/>
      <c r="BN13" s="15"/>
      <c r="BO13" s="15"/>
      <c r="BP13" s="15"/>
      <c r="BQ13" s="7"/>
      <c r="BR13" s="7"/>
      <c r="BS13" s="7"/>
      <c r="BT13" s="7"/>
      <c r="BU13" s="7"/>
      <c r="BV13" s="7"/>
      <c r="BW13" s="7"/>
      <c r="BX13" s="7"/>
      <c r="BY13" s="7"/>
      <c r="BZ13" s="7"/>
      <c r="CD13" s="16"/>
      <c r="CE13" s="16"/>
      <c r="CF13" s="16"/>
      <c r="CG13" s="16"/>
      <c r="CH13" s="16"/>
      <c r="CI13" s="16"/>
    </row>
    <row r="14" spans="1:87" s="2" customFormat="1">
      <c r="A14" s="2" t="s">
        <v>88</v>
      </c>
      <c r="B14" s="2" t="s">
        <v>148</v>
      </c>
      <c r="C14" s="2" t="s">
        <v>70</v>
      </c>
      <c r="D14" s="2" t="s">
        <v>72</v>
      </c>
      <c r="E14" s="2" t="s">
        <v>71</v>
      </c>
      <c r="F14" s="2" t="s">
        <v>139</v>
      </c>
      <c r="G14" s="2" t="s">
        <v>140</v>
      </c>
      <c r="H14" s="2" t="s">
        <v>228</v>
      </c>
      <c r="I14" s="2" t="s">
        <v>229</v>
      </c>
      <c r="J14" s="2" t="s">
        <v>226</v>
      </c>
      <c r="K14" s="2" t="s">
        <v>227</v>
      </c>
      <c r="L14" s="2" t="s">
        <v>224</v>
      </c>
      <c r="M14" s="2" t="s">
        <v>225</v>
      </c>
      <c r="N14" s="20" t="s">
        <v>247</v>
      </c>
      <c r="O14" s="20"/>
      <c r="P14" s="20" t="s">
        <v>244</v>
      </c>
      <c r="Q14" s="7" t="s">
        <v>197</v>
      </c>
      <c r="R14" s="7" t="s">
        <v>198</v>
      </c>
      <c r="S14" s="7" t="s">
        <v>199</v>
      </c>
      <c r="T14" s="7" t="s">
        <v>89</v>
      </c>
      <c r="U14" s="7" t="s">
        <v>90</v>
      </c>
      <c r="V14" s="7" t="s">
        <v>91</v>
      </c>
      <c r="W14" s="7" t="s">
        <v>92</v>
      </c>
      <c r="X14" s="7" t="s">
        <v>93</v>
      </c>
      <c r="Y14" s="7" t="s">
        <v>94</v>
      </c>
      <c r="Z14" s="7" t="s">
        <v>95</v>
      </c>
      <c r="AA14" s="7" t="s">
        <v>96</v>
      </c>
      <c r="AB14" s="7" t="s">
        <v>97</v>
      </c>
      <c r="AC14" s="7" t="s">
        <v>98</v>
      </c>
      <c r="AD14" s="7" t="s">
        <v>99</v>
      </c>
      <c r="AE14" s="7" t="s">
        <v>100</v>
      </c>
      <c r="AF14" s="7" t="s">
        <v>101</v>
      </c>
      <c r="AG14" s="7" t="s">
        <v>102</v>
      </c>
      <c r="AH14" s="7" t="s">
        <v>103</v>
      </c>
      <c r="AI14" s="17" t="s">
        <v>104</v>
      </c>
      <c r="AJ14" s="17" t="s">
        <v>105</v>
      </c>
      <c r="AK14" s="17" t="s">
        <v>106</v>
      </c>
      <c r="AL14" s="7" t="s">
        <v>157</v>
      </c>
      <c r="AM14" s="7" t="s">
        <v>158</v>
      </c>
      <c r="AN14" s="7" t="s">
        <v>159</v>
      </c>
      <c r="AO14" s="7" t="s">
        <v>191</v>
      </c>
      <c r="AP14" s="7" t="s">
        <v>192</v>
      </c>
      <c r="AQ14" s="7" t="s">
        <v>193</v>
      </c>
      <c r="AR14" s="7" t="s">
        <v>261</v>
      </c>
      <c r="AS14" s="7" t="s">
        <v>262</v>
      </c>
      <c r="AT14" s="7" t="s">
        <v>263</v>
      </c>
      <c r="AU14" s="7" t="s">
        <v>144</v>
      </c>
      <c r="AV14" s="7" t="s">
        <v>151</v>
      </c>
      <c r="AW14" s="7" t="s">
        <v>145</v>
      </c>
      <c r="AX14" s="7" t="s">
        <v>152</v>
      </c>
      <c r="AY14" s="7" t="s">
        <v>146</v>
      </c>
      <c r="AZ14" s="7" t="s">
        <v>153</v>
      </c>
      <c r="BA14" s="7" t="s">
        <v>255</v>
      </c>
      <c r="BB14" s="7" t="s">
        <v>256</v>
      </c>
      <c r="BC14" s="7" t="s">
        <v>257</v>
      </c>
      <c r="BD14" s="7" t="s">
        <v>255</v>
      </c>
      <c r="BE14" s="7" t="s">
        <v>256</v>
      </c>
      <c r="BF14" s="7" t="s">
        <v>257</v>
      </c>
      <c r="BG14" s="7" t="s">
        <v>156</v>
      </c>
      <c r="BH14" s="7" t="s">
        <v>155</v>
      </c>
      <c r="BI14" s="7" t="s">
        <v>170</v>
      </c>
      <c r="BJ14" s="7" t="s">
        <v>171</v>
      </c>
      <c r="BK14" s="7" t="s">
        <v>164</v>
      </c>
      <c r="BL14" s="7" t="s">
        <v>165</v>
      </c>
      <c r="BM14" s="7" t="s">
        <v>166</v>
      </c>
      <c r="BN14" s="7" t="s">
        <v>107</v>
      </c>
      <c r="BO14" s="7" t="s">
        <v>108</v>
      </c>
      <c r="BP14" s="7" t="s">
        <v>109</v>
      </c>
      <c r="BQ14" s="7" t="s">
        <v>110</v>
      </c>
      <c r="BR14" s="7" t="s">
        <v>111</v>
      </c>
      <c r="BS14" s="7" t="s">
        <v>112</v>
      </c>
      <c r="BT14" s="7" t="s">
        <v>113</v>
      </c>
      <c r="BU14" s="7" t="s">
        <v>114</v>
      </c>
      <c r="BV14" s="7" t="s">
        <v>115</v>
      </c>
      <c r="BW14" s="7" t="s">
        <v>116</v>
      </c>
      <c r="BX14" s="7" t="s">
        <v>117</v>
      </c>
      <c r="BY14" s="7" t="s">
        <v>118</v>
      </c>
      <c r="BZ14" s="7"/>
      <c r="CA14" s="2" t="s">
        <v>207</v>
      </c>
      <c r="CB14" s="2" t="s">
        <v>208</v>
      </c>
      <c r="CC14" s="2" t="s">
        <v>209</v>
      </c>
      <c r="CD14" s="7" t="s">
        <v>211</v>
      </c>
      <c r="CE14" s="7" t="s">
        <v>212</v>
      </c>
      <c r="CF14" s="7" t="s">
        <v>213</v>
      </c>
      <c r="CG14" s="7" t="s">
        <v>214</v>
      </c>
      <c r="CH14" s="7" t="s">
        <v>215</v>
      </c>
      <c r="CI14" s="7" t="s">
        <v>216</v>
      </c>
    </row>
    <row r="15" spans="1:87" s="2" customFormat="1">
      <c r="A15" s="2" t="s">
        <v>121</v>
      </c>
      <c r="B15" s="2" t="s">
        <v>52</v>
      </c>
      <c r="C15" s="5" t="s">
        <v>15</v>
      </c>
      <c r="D15" s="2" t="s">
        <v>26</v>
      </c>
      <c r="E15" s="2" t="s">
        <v>75</v>
      </c>
      <c r="F15" s="2">
        <v>1185</v>
      </c>
      <c r="G15" s="8" t="s">
        <v>10</v>
      </c>
      <c r="H15" s="23">
        <v>945</v>
      </c>
      <c r="I15" s="23">
        <v>115</v>
      </c>
      <c r="J15" s="23">
        <v>1034</v>
      </c>
      <c r="K15" s="23">
        <v>118</v>
      </c>
      <c r="L15" s="103">
        <v>996</v>
      </c>
      <c r="M15" s="103">
        <v>104</v>
      </c>
      <c r="N15" s="111">
        <f>VLOOKUP($B15,Extract_R__18_08_26!$B$2:$H$75,4,FALSE)</f>
        <v>1000</v>
      </c>
      <c r="O15" s="3"/>
      <c r="P15" s="3">
        <f>VLOOKUP($B15,Extract_R__18_08_26!$B$2:$H$75,6,FALSE)</f>
        <v>106</v>
      </c>
      <c r="Q15" s="96">
        <v>97.3</v>
      </c>
      <c r="R15" s="96">
        <v>115.7</v>
      </c>
      <c r="S15" s="96">
        <v>117.7</v>
      </c>
      <c r="T15" s="96">
        <v>60.7</v>
      </c>
      <c r="U15" s="96">
        <v>61.5</v>
      </c>
      <c r="V15" s="96">
        <v>59.9</v>
      </c>
      <c r="W15" s="96">
        <v>5.6</v>
      </c>
      <c r="X15" s="96">
        <v>5.7</v>
      </c>
      <c r="Y15" s="96">
        <v>6.6</v>
      </c>
      <c r="Z15" s="96">
        <v>81</v>
      </c>
      <c r="AA15" s="96">
        <v>79.8</v>
      </c>
      <c r="AB15" s="96">
        <v>81.7</v>
      </c>
      <c r="AC15" s="96">
        <v>15.8</v>
      </c>
      <c r="AD15" s="96">
        <v>17.3</v>
      </c>
      <c r="AE15" s="96">
        <v>18</v>
      </c>
      <c r="AF15" s="96">
        <v>2.79</v>
      </c>
      <c r="AG15" s="96">
        <v>2.97</v>
      </c>
      <c r="AH15" s="96">
        <v>3.15</v>
      </c>
      <c r="AI15" s="96">
        <v>25.7</v>
      </c>
      <c r="AJ15" s="96">
        <v>21.1</v>
      </c>
      <c r="AK15" s="96">
        <v>21.4</v>
      </c>
      <c r="AL15" s="96">
        <v>87.5</v>
      </c>
      <c r="AM15" s="96">
        <v>87.4</v>
      </c>
      <c r="AN15" s="96">
        <v>85.7</v>
      </c>
      <c r="AO15" s="96">
        <v>1.6</v>
      </c>
      <c r="AP15" s="96">
        <v>1.4</v>
      </c>
      <c r="AQ15" s="96">
        <v>1.5</v>
      </c>
      <c r="AR15" s="96">
        <v>2</v>
      </c>
      <c r="AS15" s="96">
        <v>2.1</v>
      </c>
      <c r="AT15" s="96">
        <v>2.5</v>
      </c>
      <c r="AU15" s="94">
        <v>59</v>
      </c>
      <c r="AV15" s="94" t="s">
        <v>223</v>
      </c>
      <c r="AW15" s="94">
        <v>71</v>
      </c>
      <c r="AX15" s="94" t="s">
        <v>223</v>
      </c>
      <c r="AY15" s="94">
        <v>79</v>
      </c>
      <c r="AZ15" s="94" t="s">
        <v>223</v>
      </c>
      <c r="BA15" s="94">
        <v>57.1</v>
      </c>
      <c r="BB15" s="94">
        <v>66.400000000000006</v>
      </c>
      <c r="BC15" s="94">
        <v>80.400000000000006</v>
      </c>
      <c r="BD15" s="94">
        <v>50.4</v>
      </c>
      <c r="BE15" s="94">
        <v>59.3</v>
      </c>
      <c r="BF15" s="94">
        <v>73.099999999999994</v>
      </c>
      <c r="BG15" s="96">
        <v>62.8</v>
      </c>
      <c r="BH15" s="7" t="s">
        <v>223</v>
      </c>
      <c r="BI15" s="96">
        <v>68.400000000000006</v>
      </c>
      <c r="BJ15" s="96">
        <v>68.5</v>
      </c>
      <c r="BK15" s="96">
        <v>72.5</v>
      </c>
      <c r="BL15" s="96">
        <v>69.7</v>
      </c>
      <c r="BM15" s="96">
        <v>68</v>
      </c>
      <c r="BN15" s="98">
        <v>48.94</v>
      </c>
      <c r="BO15" s="96">
        <v>53.31</v>
      </c>
      <c r="BP15" s="101">
        <v>53.31</v>
      </c>
      <c r="BQ15" s="98">
        <v>90.7</v>
      </c>
      <c r="BR15" s="98">
        <v>89.3</v>
      </c>
      <c r="BS15" s="98">
        <v>79.400000000000006</v>
      </c>
      <c r="BT15" s="96">
        <v>9</v>
      </c>
      <c r="BU15" s="96">
        <v>6.3</v>
      </c>
      <c r="BV15" s="96">
        <v>7.1</v>
      </c>
      <c r="BW15" s="96">
        <v>48.8</v>
      </c>
      <c r="BX15" s="96">
        <v>46.7</v>
      </c>
      <c r="BY15" s="96">
        <v>47.1</v>
      </c>
      <c r="BZ15" s="17" t="s">
        <v>52</v>
      </c>
      <c r="CA15" s="96">
        <v>38.309859154929576</v>
      </c>
      <c r="CB15" s="96">
        <v>45.00991407799075</v>
      </c>
      <c r="CC15" s="96">
        <f>0.446*100</f>
        <v>44.6</v>
      </c>
      <c r="CD15" s="96">
        <v>76.8</v>
      </c>
      <c r="CE15" s="96">
        <v>80.099999999999994</v>
      </c>
      <c r="CF15" s="96">
        <v>81.099999999999994</v>
      </c>
      <c r="CG15" s="96">
        <v>92.3</v>
      </c>
      <c r="CH15" s="96">
        <v>90.1</v>
      </c>
      <c r="CI15" s="96">
        <v>91.5</v>
      </c>
    </row>
    <row r="16" spans="1:87" s="2" customFormat="1">
      <c r="A16" s="2" t="s">
        <v>123</v>
      </c>
      <c r="B16" s="2" t="s">
        <v>53</v>
      </c>
      <c r="C16" s="2" t="s">
        <v>69</v>
      </c>
      <c r="D16" s="2" t="s">
        <v>26</v>
      </c>
      <c r="E16" s="2" t="s">
        <v>77</v>
      </c>
      <c r="F16" s="2">
        <v>459</v>
      </c>
      <c r="G16" s="8" t="s">
        <v>10</v>
      </c>
      <c r="H16" s="23">
        <v>352</v>
      </c>
      <c r="I16" s="23">
        <v>85</v>
      </c>
      <c r="J16" s="23">
        <v>341</v>
      </c>
      <c r="K16" s="23">
        <v>81</v>
      </c>
      <c r="L16" s="103">
        <v>343</v>
      </c>
      <c r="M16" s="103">
        <v>86</v>
      </c>
      <c r="N16" s="111">
        <f>VLOOKUP($B16,Extract_R__18_08_26!$B$2:$H$75,4,FALSE)</f>
        <v>331</v>
      </c>
      <c r="O16" s="3"/>
      <c r="P16" s="3">
        <f>VLOOKUP($B16,Extract_R__18_08_26!$B$2:$H$75,6,FALSE)</f>
        <v>84</v>
      </c>
      <c r="Q16" s="96">
        <v>98.4</v>
      </c>
      <c r="R16" s="96">
        <v>119.3</v>
      </c>
      <c r="S16" s="96">
        <v>117.7</v>
      </c>
      <c r="T16" s="96">
        <v>44.3</v>
      </c>
      <c r="U16" s="96">
        <v>58.1</v>
      </c>
      <c r="V16" s="96">
        <v>59.9</v>
      </c>
      <c r="W16" s="96">
        <v>8.6</v>
      </c>
      <c r="X16" s="96">
        <v>7.7</v>
      </c>
      <c r="Y16" s="96">
        <v>6.6</v>
      </c>
      <c r="Z16" s="96">
        <v>89.5</v>
      </c>
      <c r="AA16" s="96">
        <v>83.9</v>
      </c>
      <c r="AB16" s="96">
        <v>81.7</v>
      </c>
      <c r="AC16" s="96">
        <v>16.5</v>
      </c>
      <c r="AD16" s="96">
        <v>19</v>
      </c>
      <c r="AE16" s="96">
        <v>18</v>
      </c>
      <c r="AF16" s="96">
        <v>2.5499999999999998</v>
      </c>
      <c r="AG16" s="96">
        <v>3.35</v>
      </c>
      <c r="AH16" s="96">
        <v>3.15</v>
      </c>
      <c r="AI16" s="96">
        <v>22.9</v>
      </c>
      <c r="AJ16" s="96">
        <v>21.7</v>
      </c>
      <c r="AK16" s="96">
        <v>21.4</v>
      </c>
      <c r="AL16" s="96">
        <v>86.1</v>
      </c>
      <c r="AM16" s="96">
        <v>83.6</v>
      </c>
      <c r="AN16" s="96">
        <v>85.7</v>
      </c>
      <c r="AO16" s="96">
        <v>0</v>
      </c>
      <c r="AP16" s="96">
        <v>1.5</v>
      </c>
      <c r="AQ16" s="96">
        <v>1.5</v>
      </c>
      <c r="AR16" s="96">
        <v>2.6</v>
      </c>
      <c r="AS16" s="96">
        <v>3.1</v>
      </c>
      <c r="AT16" s="96">
        <v>2.5</v>
      </c>
      <c r="AU16" s="94">
        <v>56</v>
      </c>
      <c r="AV16" s="94" t="s">
        <v>223</v>
      </c>
      <c r="AW16" s="94">
        <v>69</v>
      </c>
      <c r="AX16" s="94" t="s">
        <v>223</v>
      </c>
      <c r="AY16" s="94">
        <v>75</v>
      </c>
      <c r="AZ16" s="94" t="s">
        <v>223</v>
      </c>
      <c r="BA16" s="94">
        <v>44.5</v>
      </c>
      <c r="BB16" s="94">
        <v>53.1</v>
      </c>
      <c r="BC16" s="94">
        <v>66.599999999999994</v>
      </c>
      <c r="BD16" s="94">
        <v>50.4</v>
      </c>
      <c r="BE16" s="94">
        <v>59.3</v>
      </c>
      <c r="BF16" s="94">
        <v>73.099999999999994</v>
      </c>
      <c r="BG16" s="96">
        <v>74.5</v>
      </c>
      <c r="BH16" s="7" t="s">
        <v>223</v>
      </c>
      <c r="BI16" s="96">
        <v>68.7</v>
      </c>
      <c r="BJ16" s="96">
        <v>68.5</v>
      </c>
      <c r="BK16" s="96">
        <v>67.7</v>
      </c>
      <c r="BL16" s="96">
        <v>64.099999999999994</v>
      </c>
      <c r="BM16" s="96">
        <v>68</v>
      </c>
      <c r="BN16" s="98" t="s">
        <v>223</v>
      </c>
      <c r="BO16" s="98" t="s">
        <v>223</v>
      </c>
      <c r="BP16" s="98" t="s">
        <v>223</v>
      </c>
      <c r="BQ16" s="98">
        <v>71.8</v>
      </c>
      <c r="BR16" s="98">
        <v>71.900000000000006</v>
      </c>
      <c r="BS16" s="98">
        <v>79.400000000000006</v>
      </c>
      <c r="BT16" s="96">
        <v>6.9</v>
      </c>
      <c r="BU16" s="96">
        <v>8.4</v>
      </c>
      <c r="BV16" s="96">
        <v>7.1</v>
      </c>
      <c r="BW16" s="96">
        <v>47.7</v>
      </c>
      <c r="BX16" s="96">
        <v>47.8</v>
      </c>
      <c r="BY16" s="96">
        <v>47.1</v>
      </c>
      <c r="BZ16" s="17" t="s">
        <v>53</v>
      </c>
      <c r="CA16" s="96">
        <v>42.815249266862168</v>
      </c>
      <c r="CB16" s="96">
        <v>44.037083860092707</v>
      </c>
      <c r="CC16" s="96">
        <f t="shared" ref="CC16:CC29" si="1">0.446*100</f>
        <v>44.6</v>
      </c>
      <c r="CD16" s="96">
        <v>69.8</v>
      </c>
      <c r="CE16" s="96">
        <v>83.4</v>
      </c>
      <c r="CF16" s="96">
        <v>81.099999999999994</v>
      </c>
      <c r="CG16" s="96">
        <v>90</v>
      </c>
      <c r="CH16" s="96">
        <v>93.9</v>
      </c>
      <c r="CI16" s="96">
        <v>91.5</v>
      </c>
    </row>
    <row r="17" spans="1:87" s="2" customFormat="1">
      <c r="A17" s="2" t="s">
        <v>124</v>
      </c>
      <c r="B17" s="2" t="s">
        <v>50</v>
      </c>
      <c r="C17" s="2" t="s">
        <v>69</v>
      </c>
      <c r="D17" s="2" t="s">
        <v>81</v>
      </c>
      <c r="E17" s="2" t="s">
        <v>77</v>
      </c>
      <c r="F17" s="2">
        <v>637</v>
      </c>
      <c r="G17" s="8" t="s">
        <v>10</v>
      </c>
      <c r="H17" s="23">
        <v>451</v>
      </c>
      <c r="I17" s="23">
        <v>21</v>
      </c>
      <c r="J17" s="23">
        <v>433</v>
      </c>
      <c r="K17" s="23">
        <v>19</v>
      </c>
      <c r="L17" s="103">
        <v>392</v>
      </c>
      <c r="M17" s="103">
        <v>25</v>
      </c>
      <c r="N17" s="111">
        <f>VLOOKUP($B17,Extract_R__18_08_26!$B$2:$H$75,4,FALSE)</f>
        <v>388</v>
      </c>
      <c r="O17" s="3"/>
      <c r="P17" s="3">
        <f>VLOOKUP($B17,Extract_R__18_08_26!$B$2:$H$75,6,FALSE)</f>
        <v>26</v>
      </c>
      <c r="Q17" s="96">
        <v>99.1</v>
      </c>
      <c r="R17" s="96">
        <v>119.3</v>
      </c>
      <c r="S17" s="96">
        <v>117.7</v>
      </c>
      <c r="T17" s="96">
        <v>52.8</v>
      </c>
      <c r="U17" s="96">
        <v>58.1</v>
      </c>
      <c r="V17" s="96">
        <v>59.9</v>
      </c>
      <c r="W17" s="96">
        <v>4.8</v>
      </c>
      <c r="X17" s="96">
        <v>7.7</v>
      </c>
      <c r="Y17" s="96">
        <v>6.6</v>
      </c>
      <c r="Z17" s="96">
        <v>83.7</v>
      </c>
      <c r="AA17" s="96">
        <v>83.9</v>
      </c>
      <c r="AB17" s="96">
        <v>81.7</v>
      </c>
      <c r="AC17" s="96">
        <v>19.399999999999999</v>
      </c>
      <c r="AD17" s="96">
        <v>19</v>
      </c>
      <c r="AE17" s="96">
        <v>18</v>
      </c>
      <c r="AF17" s="96">
        <v>3.92</v>
      </c>
      <c r="AG17" s="96">
        <v>3.35</v>
      </c>
      <c r="AH17" s="96">
        <v>3.15</v>
      </c>
      <c r="AI17" s="96">
        <v>20.5</v>
      </c>
      <c r="AJ17" s="96">
        <v>21.7</v>
      </c>
      <c r="AK17" s="96">
        <v>21.4</v>
      </c>
      <c r="AL17" s="96">
        <v>81.400000000000006</v>
      </c>
      <c r="AM17" s="96">
        <v>83.6</v>
      </c>
      <c r="AN17" s="96">
        <v>85.7</v>
      </c>
      <c r="AO17" s="96">
        <v>0</v>
      </c>
      <c r="AP17" s="96">
        <v>1.5</v>
      </c>
      <c r="AQ17" s="96">
        <v>1.5</v>
      </c>
      <c r="AR17" s="96">
        <v>3.5</v>
      </c>
      <c r="AS17" s="96">
        <v>3.1</v>
      </c>
      <c r="AT17" s="96">
        <v>2.5</v>
      </c>
      <c r="AU17" s="94">
        <v>35</v>
      </c>
      <c r="AV17" s="94" t="s">
        <v>223</v>
      </c>
      <c r="AW17" s="94">
        <v>51</v>
      </c>
      <c r="AX17" s="94" t="s">
        <v>223</v>
      </c>
      <c r="AY17" s="94">
        <v>69</v>
      </c>
      <c r="AZ17" s="94" t="s">
        <v>223</v>
      </c>
      <c r="BA17" s="94">
        <v>44.5</v>
      </c>
      <c r="BB17" s="94">
        <v>53.1</v>
      </c>
      <c r="BC17" s="94">
        <v>66.599999999999994</v>
      </c>
      <c r="BD17" s="94">
        <v>50.4</v>
      </c>
      <c r="BE17" s="94">
        <v>59.3</v>
      </c>
      <c r="BF17" s="94">
        <v>73.099999999999994</v>
      </c>
      <c r="BG17" s="96">
        <v>69.5</v>
      </c>
      <c r="BH17" s="7" t="s">
        <v>223</v>
      </c>
      <c r="BI17" s="96">
        <v>68.7</v>
      </c>
      <c r="BJ17" s="96">
        <v>68.5</v>
      </c>
      <c r="BK17" s="96">
        <v>50</v>
      </c>
      <c r="BL17" s="96">
        <v>64.099999999999994</v>
      </c>
      <c r="BM17" s="96">
        <v>68</v>
      </c>
      <c r="BN17" s="98" t="s">
        <v>223</v>
      </c>
      <c r="BO17" s="98" t="s">
        <v>223</v>
      </c>
      <c r="BP17" s="98" t="s">
        <v>223</v>
      </c>
      <c r="BQ17" s="98">
        <v>73.8</v>
      </c>
      <c r="BR17" s="98">
        <v>71.900000000000006</v>
      </c>
      <c r="BS17" s="98">
        <v>79.400000000000006</v>
      </c>
      <c r="BT17" s="96">
        <v>9.6999999999999993</v>
      </c>
      <c r="BU17" s="96">
        <v>8.4</v>
      </c>
      <c r="BV17" s="96">
        <v>7.1</v>
      </c>
      <c r="BW17" s="96">
        <v>49.1</v>
      </c>
      <c r="BX17" s="96">
        <v>47.8</v>
      </c>
      <c r="BY17" s="96">
        <v>47.1</v>
      </c>
      <c r="BZ17" s="17" t="s">
        <v>50</v>
      </c>
      <c r="CA17" s="96">
        <v>42.417061611374407</v>
      </c>
      <c r="CB17" s="96">
        <v>44.037083860092707</v>
      </c>
      <c r="CC17" s="96">
        <f t="shared" si="1"/>
        <v>44.6</v>
      </c>
      <c r="CD17" s="96">
        <v>88.9</v>
      </c>
      <c r="CE17" s="96">
        <v>83.4</v>
      </c>
      <c r="CF17" s="96">
        <v>81.099999999999994</v>
      </c>
      <c r="CG17" s="96">
        <v>93.7</v>
      </c>
      <c r="CH17" s="96">
        <v>93.9</v>
      </c>
      <c r="CI17" s="96">
        <v>91.5</v>
      </c>
    </row>
    <row r="18" spans="1:87" s="2" customFormat="1">
      <c r="A18" s="2" t="s">
        <v>125</v>
      </c>
      <c r="B18" s="2" t="s">
        <v>51</v>
      </c>
      <c r="C18" s="2" t="s">
        <v>69</v>
      </c>
      <c r="D18" s="2" t="s">
        <v>81</v>
      </c>
      <c r="E18" s="2" t="s">
        <v>77</v>
      </c>
      <c r="F18" s="2">
        <v>596</v>
      </c>
      <c r="G18" s="8" t="s">
        <v>10</v>
      </c>
      <c r="H18" s="23">
        <v>474</v>
      </c>
      <c r="I18" s="23">
        <v>58</v>
      </c>
      <c r="J18" s="23">
        <v>545</v>
      </c>
      <c r="K18" s="23">
        <v>55</v>
      </c>
      <c r="L18" s="103">
        <v>545</v>
      </c>
      <c r="M18" s="103">
        <v>56</v>
      </c>
      <c r="N18" s="111">
        <f>VLOOKUP($B18,Extract_R__18_08_26!$B$2:$H$75,4,FALSE)</f>
        <v>496</v>
      </c>
      <c r="O18" s="3"/>
      <c r="P18" s="3">
        <f>VLOOKUP($B18,Extract_R__18_08_26!$B$2:$H$75,6,FALSE)</f>
        <v>56</v>
      </c>
      <c r="Q18" s="96">
        <v>101.3</v>
      </c>
      <c r="R18" s="96">
        <v>119.3</v>
      </c>
      <c r="S18" s="96">
        <v>117.7</v>
      </c>
      <c r="T18" s="96">
        <v>60.2</v>
      </c>
      <c r="U18" s="96">
        <v>58.1</v>
      </c>
      <c r="V18" s="96">
        <v>59.9</v>
      </c>
      <c r="W18" s="96">
        <v>9.5</v>
      </c>
      <c r="X18" s="96">
        <v>7.7</v>
      </c>
      <c r="Y18" s="96">
        <v>6.6</v>
      </c>
      <c r="Z18" s="96">
        <v>85.3</v>
      </c>
      <c r="AA18" s="96">
        <v>83.9</v>
      </c>
      <c r="AB18" s="96">
        <v>81.7</v>
      </c>
      <c r="AC18" s="96">
        <v>16</v>
      </c>
      <c r="AD18" s="96">
        <v>19</v>
      </c>
      <c r="AE18" s="96">
        <v>18</v>
      </c>
      <c r="AF18" s="96">
        <v>3.64</v>
      </c>
      <c r="AG18" s="96">
        <v>3.35</v>
      </c>
      <c r="AH18" s="96">
        <v>3.15</v>
      </c>
      <c r="AI18" s="96">
        <v>23.2</v>
      </c>
      <c r="AJ18" s="96">
        <v>21.7</v>
      </c>
      <c r="AK18" s="96">
        <v>21.4</v>
      </c>
      <c r="AL18" s="96">
        <v>87.5</v>
      </c>
      <c r="AM18" s="96">
        <v>83.6</v>
      </c>
      <c r="AN18" s="96">
        <v>85.7</v>
      </c>
      <c r="AO18" s="96">
        <v>1.8</v>
      </c>
      <c r="AP18" s="96">
        <v>1.5</v>
      </c>
      <c r="AQ18" s="96">
        <v>1.5</v>
      </c>
      <c r="AR18" s="96">
        <v>1.8</v>
      </c>
      <c r="AS18" s="96">
        <v>3.1</v>
      </c>
      <c r="AT18" s="96">
        <v>2.5</v>
      </c>
      <c r="AU18" s="94">
        <v>59</v>
      </c>
      <c r="AV18" s="94" t="s">
        <v>223</v>
      </c>
      <c r="AW18" s="94">
        <v>64</v>
      </c>
      <c r="AX18" s="94" t="s">
        <v>223</v>
      </c>
      <c r="AY18" s="94">
        <v>74</v>
      </c>
      <c r="AZ18" s="94" t="s">
        <v>223</v>
      </c>
      <c r="BA18" s="94">
        <v>44.5</v>
      </c>
      <c r="BB18" s="94">
        <v>53.1</v>
      </c>
      <c r="BC18" s="94">
        <v>66.599999999999994</v>
      </c>
      <c r="BD18" s="94">
        <v>50.4</v>
      </c>
      <c r="BE18" s="94">
        <v>59.3</v>
      </c>
      <c r="BF18" s="94">
        <v>73.099999999999994</v>
      </c>
      <c r="BG18" s="96">
        <v>59.4</v>
      </c>
      <c r="BH18" s="7" t="s">
        <v>223</v>
      </c>
      <c r="BI18" s="96">
        <v>68.7</v>
      </c>
      <c r="BJ18" s="96">
        <v>68.5</v>
      </c>
      <c r="BK18" s="96">
        <v>66.7</v>
      </c>
      <c r="BL18" s="96">
        <v>64.099999999999994</v>
      </c>
      <c r="BM18" s="96">
        <v>68</v>
      </c>
      <c r="BN18" s="98" t="s">
        <v>223</v>
      </c>
      <c r="BO18" s="98" t="s">
        <v>223</v>
      </c>
      <c r="BP18" s="98" t="s">
        <v>223</v>
      </c>
      <c r="BQ18" s="98">
        <v>79</v>
      </c>
      <c r="BR18" s="98">
        <v>71.900000000000006</v>
      </c>
      <c r="BS18" s="98">
        <v>79.400000000000006</v>
      </c>
      <c r="BT18" s="96">
        <v>8.6</v>
      </c>
      <c r="BU18" s="96">
        <v>8.4</v>
      </c>
      <c r="BV18" s="96">
        <v>7.1</v>
      </c>
      <c r="BW18" s="96">
        <v>47</v>
      </c>
      <c r="BX18" s="96">
        <v>47.8</v>
      </c>
      <c r="BY18" s="96">
        <v>47.1</v>
      </c>
      <c r="BZ18" s="17" t="s">
        <v>51</v>
      </c>
      <c r="CA18" s="96">
        <v>44.036697247706428</v>
      </c>
      <c r="CB18" s="96">
        <v>44.037083860092707</v>
      </c>
      <c r="CC18" s="96">
        <f t="shared" si="1"/>
        <v>44.6</v>
      </c>
      <c r="CD18" s="96">
        <v>89.2</v>
      </c>
      <c r="CE18" s="96">
        <v>83.4</v>
      </c>
      <c r="CF18" s="96">
        <v>81.099999999999994</v>
      </c>
      <c r="CG18" s="96">
        <v>97.8</v>
      </c>
      <c r="CH18" s="96">
        <v>93.9</v>
      </c>
      <c r="CI18" s="96">
        <v>91.5</v>
      </c>
    </row>
    <row r="19" spans="1:87" s="2" customFormat="1">
      <c r="A19" s="2" t="s">
        <v>126</v>
      </c>
      <c r="B19" s="2" t="s">
        <v>54</v>
      </c>
      <c r="C19" s="2" t="s">
        <v>69</v>
      </c>
      <c r="D19" s="2" t="s">
        <v>82</v>
      </c>
      <c r="E19" s="2" t="s">
        <v>77</v>
      </c>
      <c r="F19" s="2">
        <v>334</v>
      </c>
      <c r="G19" s="8" t="s">
        <v>10</v>
      </c>
      <c r="H19" s="23">
        <v>265</v>
      </c>
      <c r="I19" s="23">
        <v>50</v>
      </c>
      <c r="J19" s="23">
        <v>284</v>
      </c>
      <c r="K19" s="23">
        <v>53</v>
      </c>
      <c r="L19" s="103">
        <v>275</v>
      </c>
      <c r="M19" s="103">
        <v>59</v>
      </c>
      <c r="N19" s="111">
        <f>VLOOKUP($B19,Extract_R__18_08_26!$B$2:$H$75,4,FALSE)</f>
        <v>278</v>
      </c>
      <c r="O19" s="3"/>
      <c r="P19" s="3">
        <f>VLOOKUP($B19,Extract_R__18_08_26!$B$2:$H$75,6,FALSE)</f>
        <v>61</v>
      </c>
      <c r="Q19" s="96">
        <v>124.9</v>
      </c>
      <c r="R19" s="96">
        <v>119.3</v>
      </c>
      <c r="S19" s="96">
        <v>117.7</v>
      </c>
      <c r="T19" s="96">
        <v>68</v>
      </c>
      <c r="U19" s="96">
        <v>58.1</v>
      </c>
      <c r="V19" s="96">
        <v>59.9</v>
      </c>
      <c r="W19" s="96">
        <v>7.8</v>
      </c>
      <c r="X19" s="96">
        <v>7.7</v>
      </c>
      <c r="Y19" s="96">
        <v>6.6</v>
      </c>
      <c r="Z19" s="96">
        <v>77.900000000000006</v>
      </c>
      <c r="AA19" s="96">
        <v>83.9</v>
      </c>
      <c r="AB19" s="96">
        <v>81.7</v>
      </c>
      <c r="AC19" s="96">
        <v>18.2</v>
      </c>
      <c r="AD19" s="96">
        <v>19</v>
      </c>
      <c r="AE19" s="96">
        <v>18</v>
      </c>
      <c r="AF19" s="96">
        <v>3.4</v>
      </c>
      <c r="AG19" s="96">
        <v>3.35</v>
      </c>
      <c r="AH19" s="96">
        <v>3.15</v>
      </c>
      <c r="AI19" s="96">
        <v>23.6</v>
      </c>
      <c r="AJ19" s="96">
        <v>21.7</v>
      </c>
      <c r="AK19" s="96">
        <v>21.4</v>
      </c>
      <c r="AL19" s="96">
        <v>93.3</v>
      </c>
      <c r="AM19" s="96">
        <v>83.6</v>
      </c>
      <c r="AN19" s="96">
        <v>85.7</v>
      </c>
      <c r="AO19" s="96">
        <v>0</v>
      </c>
      <c r="AP19" s="96">
        <v>1.5</v>
      </c>
      <c r="AQ19" s="96">
        <v>1.5</v>
      </c>
      <c r="AR19" s="96">
        <v>3.3</v>
      </c>
      <c r="AS19" s="96">
        <v>3.1</v>
      </c>
      <c r="AT19" s="96">
        <v>2.5</v>
      </c>
      <c r="AU19" s="94">
        <v>67</v>
      </c>
      <c r="AV19" s="94" t="s">
        <v>223</v>
      </c>
      <c r="AW19" s="94">
        <v>73</v>
      </c>
      <c r="AX19" s="94" t="s">
        <v>223</v>
      </c>
      <c r="AY19" s="94">
        <v>81</v>
      </c>
      <c r="AZ19" s="94" t="s">
        <v>223</v>
      </c>
      <c r="BA19" s="94">
        <v>44.5</v>
      </c>
      <c r="BB19" s="94">
        <v>53.1</v>
      </c>
      <c r="BC19" s="94">
        <v>66.599999999999994</v>
      </c>
      <c r="BD19" s="94">
        <v>50.4</v>
      </c>
      <c r="BE19" s="94">
        <v>59.3</v>
      </c>
      <c r="BF19" s="94">
        <v>73.099999999999994</v>
      </c>
      <c r="BG19" s="96">
        <v>68.900000000000006</v>
      </c>
      <c r="BH19" s="7" t="s">
        <v>223</v>
      </c>
      <c r="BI19" s="96">
        <v>68.7</v>
      </c>
      <c r="BJ19" s="96">
        <v>68.5</v>
      </c>
      <c r="BK19" s="96">
        <v>43.5</v>
      </c>
      <c r="BL19" s="96">
        <v>64.099999999999994</v>
      </c>
      <c r="BM19" s="96">
        <v>68</v>
      </c>
      <c r="BN19" s="98" t="s">
        <v>223</v>
      </c>
      <c r="BO19" s="98" t="s">
        <v>223</v>
      </c>
      <c r="BP19" s="98" t="s">
        <v>223</v>
      </c>
      <c r="BQ19" s="98">
        <v>64.900000000000006</v>
      </c>
      <c r="BR19" s="98">
        <v>71.900000000000006</v>
      </c>
      <c r="BS19" s="98">
        <v>79.400000000000006</v>
      </c>
      <c r="BT19" s="96">
        <v>7.4</v>
      </c>
      <c r="BU19" s="96">
        <v>8.4</v>
      </c>
      <c r="BV19" s="96">
        <v>7.1</v>
      </c>
      <c r="BW19" s="96">
        <v>46.6</v>
      </c>
      <c r="BX19" s="96">
        <v>47.8</v>
      </c>
      <c r="BY19" s="96">
        <v>47.1</v>
      </c>
      <c r="BZ19" s="17" t="s">
        <v>54</v>
      </c>
      <c r="CA19" s="96">
        <v>50</v>
      </c>
      <c r="CB19" s="96">
        <v>44.037083860092707</v>
      </c>
      <c r="CC19" s="96">
        <f t="shared" si="1"/>
        <v>44.6</v>
      </c>
      <c r="CD19" s="96">
        <v>77.400000000000006</v>
      </c>
      <c r="CE19" s="96">
        <v>83.4</v>
      </c>
      <c r="CF19" s="96">
        <v>81.099999999999994</v>
      </c>
      <c r="CG19" s="96">
        <v>80</v>
      </c>
      <c r="CH19" s="96">
        <v>93.9</v>
      </c>
      <c r="CI19" s="96">
        <v>91.5</v>
      </c>
    </row>
    <row r="20" spans="1:87" s="2" customFormat="1">
      <c r="A20" s="2" t="s">
        <v>127</v>
      </c>
      <c r="B20" s="2" t="s">
        <v>55</v>
      </c>
      <c r="C20" s="2" t="s">
        <v>69</v>
      </c>
      <c r="D20" s="2" t="s">
        <v>83</v>
      </c>
      <c r="E20" s="2" t="s">
        <v>77</v>
      </c>
      <c r="F20" s="2">
        <v>121</v>
      </c>
      <c r="G20" s="8" t="s">
        <v>10</v>
      </c>
      <c r="H20" s="23">
        <v>57</v>
      </c>
      <c r="I20" s="24" t="s">
        <v>10</v>
      </c>
      <c r="J20" s="23">
        <v>57</v>
      </c>
      <c r="K20" s="24" t="s">
        <v>10</v>
      </c>
      <c r="L20" s="103">
        <v>49</v>
      </c>
      <c r="M20" s="103">
        <v>0</v>
      </c>
      <c r="N20" s="111">
        <f>VLOOKUP($B20,Extract_R__18_08_26!$B$2:$H$75,4,FALSE)</f>
        <v>51</v>
      </c>
      <c r="O20" s="3"/>
      <c r="P20" s="3">
        <f>VLOOKUP($B20,Extract_R__18_08_26!$B$2:$H$75,6,FALSE)</f>
        <v>0</v>
      </c>
      <c r="Q20" s="96">
        <v>179.9</v>
      </c>
      <c r="R20" s="96">
        <v>119.3</v>
      </c>
      <c r="S20" s="96">
        <v>117.7</v>
      </c>
      <c r="T20" s="96">
        <v>67.3</v>
      </c>
      <c r="U20" s="96">
        <v>58.1</v>
      </c>
      <c r="V20" s="96">
        <v>59.9</v>
      </c>
      <c r="W20" s="96" t="s">
        <v>223</v>
      </c>
      <c r="X20" s="96" t="s">
        <v>223</v>
      </c>
      <c r="Y20" s="96" t="s">
        <v>223</v>
      </c>
      <c r="Z20" s="96">
        <v>74</v>
      </c>
      <c r="AA20" s="96">
        <v>83.9</v>
      </c>
      <c r="AB20" s="96">
        <v>81.7</v>
      </c>
      <c r="AC20" s="96">
        <v>28.6</v>
      </c>
      <c r="AD20" s="96">
        <v>19</v>
      </c>
      <c r="AE20" s="96">
        <v>18</v>
      </c>
      <c r="AF20" s="96">
        <v>7.26</v>
      </c>
      <c r="AG20" s="96">
        <v>3.35</v>
      </c>
      <c r="AH20" s="96">
        <v>3.15</v>
      </c>
      <c r="AI20" s="96">
        <v>12.5</v>
      </c>
      <c r="AJ20" s="96">
        <v>21.7</v>
      </c>
      <c r="AK20" s="96">
        <v>21.4</v>
      </c>
      <c r="AL20" s="96">
        <v>75</v>
      </c>
      <c r="AM20" s="96">
        <v>83.6</v>
      </c>
      <c r="AN20" s="96">
        <v>85.7</v>
      </c>
      <c r="AO20" s="96">
        <v>0</v>
      </c>
      <c r="AP20" s="96">
        <v>1.5</v>
      </c>
      <c r="AQ20" s="96">
        <v>1.5</v>
      </c>
      <c r="AR20" s="96">
        <v>0</v>
      </c>
      <c r="AS20" s="96">
        <v>3.1</v>
      </c>
      <c r="AT20" s="96">
        <v>2.5</v>
      </c>
      <c r="AU20" s="94">
        <v>17</v>
      </c>
      <c r="AV20" s="94" t="s">
        <v>223</v>
      </c>
      <c r="AW20" s="94">
        <v>19</v>
      </c>
      <c r="AX20" s="94" t="s">
        <v>223</v>
      </c>
      <c r="AY20" s="94">
        <v>29</v>
      </c>
      <c r="AZ20" s="94" t="s">
        <v>223</v>
      </c>
      <c r="BA20" s="94">
        <v>44.5</v>
      </c>
      <c r="BB20" s="94">
        <v>53.1</v>
      </c>
      <c r="BC20" s="94">
        <v>66.599999999999994</v>
      </c>
      <c r="BD20" s="94">
        <v>50.4</v>
      </c>
      <c r="BE20" s="94">
        <v>59.3</v>
      </c>
      <c r="BF20" s="94">
        <v>73.099999999999994</v>
      </c>
      <c r="BG20" s="96">
        <v>25</v>
      </c>
      <c r="BH20" s="7" t="s">
        <v>223</v>
      </c>
      <c r="BI20" s="96">
        <v>68.7</v>
      </c>
      <c r="BJ20" s="96">
        <v>68.5</v>
      </c>
      <c r="BK20" s="96" t="s">
        <v>223</v>
      </c>
      <c r="BL20" s="96" t="s">
        <v>223</v>
      </c>
      <c r="BM20" s="96" t="s">
        <v>223</v>
      </c>
      <c r="BN20" s="98" t="s">
        <v>223</v>
      </c>
      <c r="BO20" s="98" t="s">
        <v>223</v>
      </c>
      <c r="BP20" s="98" t="s">
        <v>223</v>
      </c>
      <c r="BQ20" s="98">
        <v>40.700000000000003</v>
      </c>
      <c r="BR20" s="98">
        <v>71.900000000000006</v>
      </c>
      <c r="BS20" s="98">
        <v>79.400000000000006</v>
      </c>
      <c r="BT20" s="96">
        <v>5.3</v>
      </c>
      <c r="BU20" s="96">
        <v>8.4</v>
      </c>
      <c r="BV20" s="96">
        <v>7.1</v>
      </c>
      <c r="BW20" s="96">
        <v>42.3</v>
      </c>
      <c r="BX20" s="96">
        <v>47.8</v>
      </c>
      <c r="BY20" s="96">
        <v>47.1</v>
      </c>
      <c r="BZ20" s="17" t="s">
        <v>55</v>
      </c>
      <c r="CA20" s="96">
        <v>48.888888888888886</v>
      </c>
      <c r="CB20" s="96">
        <v>44.037083860092707</v>
      </c>
      <c r="CC20" s="96">
        <f t="shared" si="1"/>
        <v>44.6</v>
      </c>
      <c r="CD20" s="96">
        <v>80</v>
      </c>
      <c r="CE20" s="96">
        <v>83.4</v>
      </c>
      <c r="CF20" s="96">
        <v>81.099999999999994</v>
      </c>
      <c r="CG20" s="96">
        <v>100</v>
      </c>
      <c r="CH20" s="96">
        <v>93.9</v>
      </c>
      <c r="CI20" s="96">
        <v>91.5</v>
      </c>
    </row>
    <row r="21" spans="1:87" s="2" customFormat="1">
      <c r="A21" s="2" t="s">
        <v>128</v>
      </c>
      <c r="B21" s="2" t="s">
        <v>56</v>
      </c>
      <c r="C21" s="2" t="s">
        <v>69</v>
      </c>
      <c r="D21" s="2" t="s">
        <v>82</v>
      </c>
      <c r="E21" s="2" t="s">
        <v>77</v>
      </c>
      <c r="F21" s="2">
        <v>385</v>
      </c>
      <c r="G21" s="8" t="s">
        <v>10</v>
      </c>
      <c r="H21" s="23">
        <v>289</v>
      </c>
      <c r="I21" s="24" t="s">
        <v>10</v>
      </c>
      <c r="J21" s="23">
        <v>252</v>
      </c>
      <c r="K21" s="24" t="s">
        <v>10</v>
      </c>
      <c r="L21" s="103">
        <v>255</v>
      </c>
      <c r="M21" s="103">
        <v>0</v>
      </c>
      <c r="N21" s="111">
        <f>VLOOKUP($B21,Extract_R__18_08_26!$B$2:$H$75,4,FALSE)</f>
        <v>252</v>
      </c>
      <c r="O21" s="3"/>
      <c r="P21" s="3">
        <f>VLOOKUP($B21,Extract_R__18_08_26!$B$2:$H$75,6,FALSE)</f>
        <v>0</v>
      </c>
      <c r="Q21" s="96">
        <v>124.9</v>
      </c>
      <c r="R21" s="96">
        <v>119.3</v>
      </c>
      <c r="S21" s="96">
        <v>117.7</v>
      </c>
      <c r="T21" s="96">
        <v>69.400000000000006</v>
      </c>
      <c r="U21" s="96">
        <v>58.1</v>
      </c>
      <c r="V21" s="96">
        <v>59.9</v>
      </c>
      <c r="W21" s="96">
        <v>10.6</v>
      </c>
      <c r="X21" s="96">
        <v>7.7</v>
      </c>
      <c r="Y21" s="96">
        <v>6.6</v>
      </c>
      <c r="Z21" s="96">
        <v>81.599999999999994</v>
      </c>
      <c r="AA21" s="96">
        <v>83.9</v>
      </c>
      <c r="AB21" s="96">
        <v>81.7</v>
      </c>
      <c r="AC21" s="96">
        <v>13.5</v>
      </c>
      <c r="AD21" s="96">
        <v>19</v>
      </c>
      <c r="AE21" s="96">
        <v>18</v>
      </c>
      <c r="AF21" s="96">
        <v>5.42</v>
      </c>
      <c r="AG21" s="96">
        <v>3.35</v>
      </c>
      <c r="AH21" s="96">
        <v>3.15</v>
      </c>
      <c r="AI21" s="96">
        <v>18.2</v>
      </c>
      <c r="AJ21" s="96">
        <v>21.7</v>
      </c>
      <c r="AK21" s="96">
        <v>21.4</v>
      </c>
      <c r="AL21" s="96">
        <v>86.4</v>
      </c>
      <c r="AM21" s="96">
        <v>83.6</v>
      </c>
      <c r="AN21" s="96">
        <v>85.7</v>
      </c>
      <c r="AO21" s="96">
        <v>2.2999999999999998</v>
      </c>
      <c r="AP21" s="96">
        <v>1.5</v>
      </c>
      <c r="AQ21" s="96">
        <v>1.5</v>
      </c>
      <c r="AR21" s="96">
        <v>0</v>
      </c>
      <c r="AS21" s="96">
        <v>3.1</v>
      </c>
      <c r="AT21" s="96">
        <v>2.5</v>
      </c>
      <c r="AU21" s="94">
        <v>22</v>
      </c>
      <c r="AV21" s="94" t="s">
        <v>223</v>
      </c>
      <c r="AW21" s="94">
        <v>27</v>
      </c>
      <c r="AX21" s="94" t="s">
        <v>223</v>
      </c>
      <c r="AY21" s="94">
        <v>47</v>
      </c>
      <c r="AZ21" s="94" t="s">
        <v>223</v>
      </c>
      <c r="BA21" s="94">
        <v>44.5</v>
      </c>
      <c r="BB21" s="94">
        <v>53.1</v>
      </c>
      <c r="BC21" s="94">
        <v>66.599999999999994</v>
      </c>
      <c r="BD21" s="94">
        <v>50.4</v>
      </c>
      <c r="BE21" s="94">
        <v>59.3</v>
      </c>
      <c r="BF21" s="94">
        <v>73.099999999999994</v>
      </c>
      <c r="BG21" s="96">
        <v>43.6</v>
      </c>
      <c r="BH21" s="7" t="s">
        <v>223</v>
      </c>
      <c r="BI21" s="96">
        <v>68.7</v>
      </c>
      <c r="BJ21" s="96">
        <v>68.5</v>
      </c>
      <c r="BK21" s="96" t="s">
        <v>223</v>
      </c>
      <c r="BL21" s="96" t="s">
        <v>223</v>
      </c>
      <c r="BM21" s="96" t="s">
        <v>223</v>
      </c>
      <c r="BN21" s="98" t="s">
        <v>223</v>
      </c>
      <c r="BO21" s="98" t="s">
        <v>223</v>
      </c>
      <c r="BP21" s="98" t="s">
        <v>223</v>
      </c>
      <c r="BQ21" s="98">
        <v>90</v>
      </c>
      <c r="BR21" s="98">
        <v>71.900000000000006</v>
      </c>
      <c r="BS21" s="98">
        <v>79.400000000000006</v>
      </c>
      <c r="BT21" s="96">
        <v>10.1</v>
      </c>
      <c r="BU21" s="96">
        <v>8.4</v>
      </c>
      <c r="BV21" s="96">
        <v>7.1</v>
      </c>
      <c r="BW21" s="96">
        <v>47.8</v>
      </c>
      <c r="BX21" s="96">
        <v>47.8</v>
      </c>
      <c r="BY21" s="96">
        <v>47.1</v>
      </c>
      <c r="BZ21" s="17" t="s">
        <v>56</v>
      </c>
      <c r="CA21" s="96">
        <v>59.126984126984127</v>
      </c>
      <c r="CB21" s="96">
        <v>44.037083860092707</v>
      </c>
      <c r="CC21" s="96">
        <f t="shared" si="1"/>
        <v>44.6</v>
      </c>
      <c r="CD21" s="96">
        <v>94.1</v>
      </c>
      <c r="CE21" s="96">
        <v>83.4</v>
      </c>
      <c r="CF21" s="96">
        <v>81.099999999999994</v>
      </c>
      <c r="CG21" s="96">
        <v>94.3</v>
      </c>
      <c r="CH21" s="96">
        <v>93.9</v>
      </c>
      <c r="CI21" s="96">
        <v>91.5</v>
      </c>
    </row>
    <row r="22" spans="1:87" s="2" customFormat="1">
      <c r="A22" s="2" t="s">
        <v>129</v>
      </c>
      <c r="B22" s="2" t="s">
        <v>57</v>
      </c>
      <c r="C22" s="5" t="s">
        <v>15</v>
      </c>
      <c r="D22" s="2" t="s">
        <v>26</v>
      </c>
      <c r="E22" s="2" t="s">
        <v>75</v>
      </c>
      <c r="F22" s="2">
        <v>838</v>
      </c>
      <c r="G22" s="2">
        <v>44</v>
      </c>
      <c r="H22" s="23">
        <v>718</v>
      </c>
      <c r="I22" s="23">
        <v>62</v>
      </c>
      <c r="J22" s="23">
        <v>300</v>
      </c>
      <c r="K22" s="23">
        <v>6</v>
      </c>
      <c r="L22" s="103">
        <v>275</v>
      </c>
      <c r="M22" s="103">
        <v>0</v>
      </c>
      <c r="N22" s="111">
        <f>VLOOKUP($B22,Extract_R__18_08_26!$B$2:$H$75,4,FALSE)</f>
        <v>288</v>
      </c>
      <c r="O22" s="3"/>
      <c r="P22" s="3">
        <f>VLOOKUP($B22,Extract_R__18_08_26!$B$2:$H$75,6,FALSE)</f>
        <v>15</v>
      </c>
      <c r="Q22" s="96">
        <v>100.1</v>
      </c>
      <c r="R22" s="96">
        <v>115.7</v>
      </c>
      <c r="S22" s="96">
        <v>117.7</v>
      </c>
      <c r="T22" s="96">
        <v>61.5</v>
      </c>
      <c r="U22" s="96">
        <v>61.5</v>
      </c>
      <c r="V22" s="96">
        <v>59.9</v>
      </c>
      <c r="W22" s="96">
        <v>4.7</v>
      </c>
      <c r="X22" s="96">
        <v>5.7</v>
      </c>
      <c r="Y22" s="96">
        <v>6.6</v>
      </c>
      <c r="Z22" s="96">
        <v>77.400000000000006</v>
      </c>
      <c r="AA22" s="96">
        <v>79.8</v>
      </c>
      <c r="AB22" s="96">
        <v>81.7</v>
      </c>
      <c r="AC22" s="96">
        <v>14.6</v>
      </c>
      <c r="AD22" s="96">
        <v>17.3</v>
      </c>
      <c r="AE22" s="96">
        <v>18</v>
      </c>
      <c r="AF22" s="96">
        <v>3.87</v>
      </c>
      <c r="AG22" s="96">
        <v>2.97</v>
      </c>
      <c r="AH22" s="96">
        <v>3.15</v>
      </c>
      <c r="AI22" s="96">
        <v>20.6</v>
      </c>
      <c r="AJ22" s="96">
        <v>21.1</v>
      </c>
      <c r="AK22" s="96">
        <v>21.4</v>
      </c>
      <c r="AL22" s="96">
        <v>87.7</v>
      </c>
      <c r="AM22" s="96">
        <v>87.4</v>
      </c>
      <c r="AN22" s="96">
        <v>85.7</v>
      </c>
      <c r="AO22" s="96">
        <v>1.8</v>
      </c>
      <c r="AP22" s="96">
        <v>1.4</v>
      </c>
      <c r="AQ22" s="96">
        <v>1.5</v>
      </c>
      <c r="AR22" s="96">
        <v>0</v>
      </c>
      <c r="AS22" s="96">
        <v>2.1</v>
      </c>
      <c r="AT22" s="96">
        <v>2.5</v>
      </c>
      <c r="AU22" s="94">
        <v>8</v>
      </c>
      <c r="AV22" s="94" t="s">
        <v>223</v>
      </c>
      <c r="AW22" s="94">
        <v>24</v>
      </c>
      <c r="AX22" s="94" t="s">
        <v>223</v>
      </c>
      <c r="AY22" s="94">
        <v>71</v>
      </c>
      <c r="AZ22" s="94" t="s">
        <v>223</v>
      </c>
      <c r="BA22" s="94">
        <v>57.1</v>
      </c>
      <c r="BB22" s="94">
        <v>66.400000000000006</v>
      </c>
      <c r="BC22" s="94">
        <v>80.400000000000006</v>
      </c>
      <c r="BD22" s="94">
        <v>50.4</v>
      </c>
      <c r="BE22" s="94">
        <v>59.3</v>
      </c>
      <c r="BF22" s="94">
        <v>73.099999999999994</v>
      </c>
      <c r="BG22" s="96">
        <v>46.8</v>
      </c>
      <c r="BH22" s="7" t="s">
        <v>223</v>
      </c>
      <c r="BI22" s="96">
        <v>68.400000000000006</v>
      </c>
      <c r="BJ22" s="96">
        <v>68.5</v>
      </c>
      <c r="BK22" s="96" t="s">
        <v>223</v>
      </c>
      <c r="BL22" s="96" t="s">
        <v>223</v>
      </c>
      <c r="BM22" s="96" t="s">
        <v>223</v>
      </c>
      <c r="BN22" s="98">
        <v>38.299999999999997</v>
      </c>
      <c r="BO22" s="96">
        <v>53.31</v>
      </c>
      <c r="BP22" s="101">
        <v>53.31</v>
      </c>
      <c r="BQ22" s="98">
        <v>90.9</v>
      </c>
      <c r="BR22" s="98">
        <v>89.3</v>
      </c>
      <c r="BS22" s="98">
        <v>79.400000000000006</v>
      </c>
      <c r="BT22" s="96">
        <v>11</v>
      </c>
      <c r="BU22" s="96">
        <v>6.3</v>
      </c>
      <c r="BV22" s="96">
        <v>7.1</v>
      </c>
      <c r="BW22" s="96">
        <v>52.2</v>
      </c>
      <c r="BX22" s="96">
        <v>46.7</v>
      </c>
      <c r="BY22" s="96">
        <v>47.1</v>
      </c>
      <c r="BZ22" s="17" t="s">
        <v>57</v>
      </c>
      <c r="CA22" s="96">
        <v>61</v>
      </c>
      <c r="CB22" s="96">
        <v>45.00991407799075</v>
      </c>
      <c r="CC22" s="96">
        <f t="shared" si="1"/>
        <v>44.6</v>
      </c>
      <c r="CD22" s="96">
        <v>83</v>
      </c>
      <c r="CE22" s="96">
        <v>80.099999999999994</v>
      </c>
      <c r="CF22" s="96">
        <v>81.099999999999994</v>
      </c>
      <c r="CG22" s="96">
        <v>97.8</v>
      </c>
      <c r="CH22" s="96">
        <v>90.1</v>
      </c>
      <c r="CI22" s="96">
        <v>91.5</v>
      </c>
    </row>
    <row r="23" spans="1:87" s="2" customFormat="1">
      <c r="A23" s="2" t="s">
        <v>131</v>
      </c>
      <c r="B23" s="2" t="s">
        <v>59</v>
      </c>
      <c r="C23" s="2" t="s">
        <v>69</v>
      </c>
      <c r="D23" s="2" t="s">
        <v>80</v>
      </c>
      <c r="E23" s="2" t="s">
        <v>77</v>
      </c>
      <c r="F23" s="2">
        <v>397</v>
      </c>
      <c r="G23" s="8" t="s">
        <v>10</v>
      </c>
      <c r="H23" s="23">
        <v>288</v>
      </c>
      <c r="I23" s="24">
        <v>29</v>
      </c>
      <c r="J23" s="23">
        <v>245</v>
      </c>
      <c r="K23" s="23">
        <v>27</v>
      </c>
      <c r="L23" s="103">
        <v>227</v>
      </c>
      <c r="M23" s="103">
        <v>25</v>
      </c>
      <c r="N23" s="111">
        <f>VLOOKUP($B23,Extract_R__18_08_26!$B$2:$H$75,4,FALSE)</f>
        <v>248</v>
      </c>
      <c r="O23" s="3"/>
      <c r="P23" s="3">
        <f>VLOOKUP($B23,Extract_R__18_08_26!$B$2:$H$75,6,FALSE)</f>
        <v>25</v>
      </c>
      <c r="Q23" s="96">
        <v>99.6</v>
      </c>
      <c r="R23" s="96">
        <v>119.3</v>
      </c>
      <c r="S23" s="96">
        <v>117.7</v>
      </c>
      <c r="T23" s="96">
        <v>61.5</v>
      </c>
      <c r="U23" s="96">
        <v>58.1</v>
      </c>
      <c r="V23" s="96">
        <v>59.9</v>
      </c>
      <c r="W23" s="96">
        <v>6</v>
      </c>
      <c r="X23" s="96">
        <v>7.7</v>
      </c>
      <c r="Y23" s="96">
        <v>6.6</v>
      </c>
      <c r="Z23" s="96">
        <v>80.7</v>
      </c>
      <c r="AA23" s="96">
        <v>83.9</v>
      </c>
      <c r="AB23" s="96">
        <v>81.7</v>
      </c>
      <c r="AC23" s="96">
        <v>16.7</v>
      </c>
      <c r="AD23" s="96">
        <v>19</v>
      </c>
      <c r="AE23" s="96">
        <v>18</v>
      </c>
      <c r="AF23" s="96">
        <v>3.44</v>
      </c>
      <c r="AG23" s="96">
        <v>3.35</v>
      </c>
      <c r="AH23" s="96">
        <v>3.15</v>
      </c>
      <c r="AI23" s="96">
        <v>17.600000000000001</v>
      </c>
      <c r="AJ23" s="96">
        <v>21.7</v>
      </c>
      <c r="AK23" s="96">
        <v>21.4</v>
      </c>
      <c r="AL23" s="96">
        <v>73.900000000000006</v>
      </c>
      <c r="AM23" s="96">
        <v>83.6</v>
      </c>
      <c r="AN23" s="96">
        <v>85.7</v>
      </c>
      <c r="AO23" s="96">
        <v>4.3</v>
      </c>
      <c r="AP23" s="96">
        <v>1.5</v>
      </c>
      <c r="AQ23" s="96">
        <v>1.5</v>
      </c>
      <c r="AR23" s="96">
        <v>2.2000000000000002</v>
      </c>
      <c r="AS23" s="96">
        <v>3.1</v>
      </c>
      <c r="AT23" s="96">
        <v>2.5</v>
      </c>
      <c r="AU23" s="94">
        <v>46</v>
      </c>
      <c r="AV23" s="94" t="s">
        <v>223</v>
      </c>
      <c r="AW23" s="94">
        <v>55</v>
      </c>
      <c r="AX23" s="94" t="s">
        <v>223</v>
      </c>
      <c r="AY23" s="94">
        <v>73</v>
      </c>
      <c r="AZ23" s="94" t="s">
        <v>223</v>
      </c>
      <c r="BA23" s="94">
        <v>44.5</v>
      </c>
      <c r="BB23" s="94">
        <v>53.1</v>
      </c>
      <c r="BC23" s="94">
        <v>66.599999999999994</v>
      </c>
      <c r="BD23" s="94">
        <v>50.4</v>
      </c>
      <c r="BE23" s="94">
        <v>59.3</v>
      </c>
      <c r="BF23" s="94">
        <v>73.099999999999994</v>
      </c>
      <c r="BG23" s="96">
        <v>77.599999999999994</v>
      </c>
      <c r="BH23" s="7" t="s">
        <v>223</v>
      </c>
      <c r="BI23" s="96">
        <v>68.7</v>
      </c>
      <c r="BJ23" s="96">
        <v>68.5</v>
      </c>
      <c r="BK23" s="96">
        <v>57.1</v>
      </c>
      <c r="BL23" s="96">
        <v>64.099999999999994</v>
      </c>
      <c r="BM23" s="96">
        <v>68</v>
      </c>
      <c r="BN23" s="98" t="s">
        <v>223</v>
      </c>
      <c r="BO23" s="98" t="s">
        <v>223</v>
      </c>
      <c r="BP23" s="98" t="s">
        <v>223</v>
      </c>
      <c r="BQ23" s="98">
        <v>51.3</v>
      </c>
      <c r="BR23" s="98">
        <v>71.900000000000006</v>
      </c>
      <c r="BS23" s="98">
        <v>79.400000000000006</v>
      </c>
      <c r="BT23" s="96">
        <v>7.1</v>
      </c>
      <c r="BU23" s="96">
        <v>8.4</v>
      </c>
      <c r="BV23" s="96">
        <v>7.1</v>
      </c>
      <c r="BW23" s="96">
        <v>46.9</v>
      </c>
      <c r="BX23" s="96">
        <v>47.8</v>
      </c>
      <c r="BY23" s="96">
        <v>47.1</v>
      </c>
      <c r="BZ23" s="17" t="s">
        <v>59</v>
      </c>
      <c r="CA23" s="96">
        <v>33.177570093457945</v>
      </c>
      <c r="CB23" s="96">
        <v>44.037083860092707</v>
      </c>
      <c r="CC23" s="96">
        <f t="shared" si="1"/>
        <v>44.6</v>
      </c>
      <c r="CD23" s="96">
        <v>79.5</v>
      </c>
      <c r="CE23" s="96">
        <v>83.4</v>
      </c>
      <c r="CF23" s="96">
        <v>81.099999999999994</v>
      </c>
      <c r="CG23" s="96">
        <v>100</v>
      </c>
      <c r="CH23" s="96">
        <v>93.9</v>
      </c>
      <c r="CI23" s="96">
        <v>91.5</v>
      </c>
    </row>
    <row r="24" spans="1:87" s="2" customFormat="1">
      <c r="A24" s="2" t="s">
        <v>132</v>
      </c>
      <c r="B24" s="2" t="s">
        <v>60</v>
      </c>
      <c r="C24" s="5" t="s">
        <v>15</v>
      </c>
      <c r="D24" s="2" t="s">
        <v>85</v>
      </c>
      <c r="E24" s="2" t="s">
        <v>75</v>
      </c>
      <c r="F24" s="2">
        <v>372</v>
      </c>
      <c r="G24" s="8" t="s">
        <v>10</v>
      </c>
      <c r="H24" s="23">
        <v>349</v>
      </c>
      <c r="I24" s="24" t="s">
        <v>10</v>
      </c>
      <c r="J24" s="23">
        <v>359</v>
      </c>
      <c r="K24" s="24" t="s">
        <v>10</v>
      </c>
      <c r="L24" s="103">
        <v>383</v>
      </c>
      <c r="M24" s="103">
        <v>0</v>
      </c>
      <c r="N24" s="111">
        <f>VLOOKUP($B24,Extract_R__18_08_26!$B$2:$H$75,4,FALSE)</f>
        <v>373</v>
      </c>
      <c r="O24" s="3"/>
      <c r="P24" s="3">
        <f>VLOOKUP($B24,Extract_R__18_08_26!$B$2:$H$75,6,FALSE)</f>
        <v>0</v>
      </c>
      <c r="Q24" s="96">
        <v>138.69999999999999</v>
      </c>
      <c r="R24" s="96">
        <v>115.7</v>
      </c>
      <c r="S24" s="96">
        <v>117.7</v>
      </c>
      <c r="T24" s="96">
        <v>72.8</v>
      </c>
      <c r="U24" s="96">
        <v>61.5</v>
      </c>
      <c r="V24" s="96">
        <v>59.9</v>
      </c>
      <c r="W24" s="96">
        <v>2.1</v>
      </c>
      <c r="X24" s="96">
        <v>5.7</v>
      </c>
      <c r="Y24" s="96">
        <v>6.6</v>
      </c>
      <c r="Z24" s="96">
        <v>71.5</v>
      </c>
      <c r="AA24" s="96">
        <v>79.8</v>
      </c>
      <c r="AB24" s="96">
        <v>81.7</v>
      </c>
      <c r="AC24" s="96">
        <v>11.5</v>
      </c>
      <c r="AD24" s="96">
        <v>17.3</v>
      </c>
      <c r="AE24" s="96">
        <v>18</v>
      </c>
      <c r="AF24" s="96">
        <v>3.37</v>
      </c>
      <c r="AG24" s="96">
        <v>2.97</v>
      </c>
      <c r="AH24" s="96">
        <v>3.15</v>
      </c>
      <c r="AI24" s="96">
        <v>15.7</v>
      </c>
      <c r="AJ24" s="96">
        <v>21.1</v>
      </c>
      <c r="AK24" s="96">
        <v>21.4</v>
      </c>
      <c r="AL24" s="96">
        <v>89.6</v>
      </c>
      <c r="AM24" s="96">
        <v>87.4</v>
      </c>
      <c r="AN24" s="96">
        <v>85.7</v>
      </c>
      <c r="AO24" s="96">
        <v>2.1</v>
      </c>
      <c r="AP24" s="96">
        <v>1.4</v>
      </c>
      <c r="AQ24" s="96">
        <v>1.5</v>
      </c>
      <c r="AR24" s="96">
        <v>0</v>
      </c>
      <c r="AS24" s="96">
        <v>2.1</v>
      </c>
      <c r="AT24" s="96">
        <v>2.5</v>
      </c>
      <c r="AU24" s="94">
        <v>55</v>
      </c>
      <c r="AV24" s="94" t="s">
        <v>223</v>
      </c>
      <c r="AW24" s="94">
        <v>64</v>
      </c>
      <c r="AX24" s="94" t="s">
        <v>223</v>
      </c>
      <c r="AY24" s="94">
        <v>83</v>
      </c>
      <c r="AZ24" s="94" t="s">
        <v>223</v>
      </c>
      <c r="BA24" s="94">
        <v>57.1</v>
      </c>
      <c r="BB24" s="94">
        <v>66.400000000000006</v>
      </c>
      <c r="BC24" s="94">
        <v>80.400000000000006</v>
      </c>
      <c r="BD24" s="94">
        <v>50.4</v>
      </c>
      <c r="BE24" s="94">
        <v>59.3</v>
      </c>
      <c r="BF24" s="94">
        <v>73.099999999999994</v>
      </c>
      <c r="BG24" s="96">
        <v>79.7</v>
      </c>
      <c r="BH24" s="7" t="s">
        <v>223</v>
      </c>
      <c r="BI24" s="96">
        <v>68.400000000000006</v>
      </c>
      <c r="BJ24" s="96">
        <v>68.5</v>
      </c>
      <c r="BK24" s="96" t="s">
        <v>223</v>
      </c>
      <c r="BL24" s="96" t="s">
        <v>223</v>
      </c>
      <c r="BM24" s="96" t="s">
        <v>223</v>
      </c>
      <c r="BN24" s="98">
        <v>27.87</v>
      </c>
      <c r="BO24" s="96">
        <v>53.31</v>
      </c>
      <c r="BP24" s="101">
        <v>53.31</v>
      </c>
      <c r="BQ24" s="98">
        <v>84.4</v>
      </c>
      <c r="BR24" s="98">
        <v>89.3</v>
      </c>
      <c r="BS24" s="98">
        <v>79.400000000000006</v>
      </c>
      <c r="BT24" s="96">
        <v>3.9</v>
      </c>
      <c r="BU24" s="96">
        <v>6.3</v>
      </c>
      <c r="BV24" s="96">
        <v>7.1</v>
      </c>
      <c r="BW24" s="96">
        <v>46.7</v>
      </c>
      <c r="BX24" s="96">
        <v>46.7</v>
      </c>
      <c r="BY24" s="96">
        <v>47.1</v>
      </c>
      <c r="BZ24" s="17" t="s">
        <v>60</v>
      </c>
      <c r="CA24" s="96">
        <v>69.080779944289688</v>
      </c>
      <c r="CB24" s="96">
        <v>45.00991407799075</v>
      </c>
      <c r="CC24" s="96">
        <f t="shared" si="1"/>
        <v>44.6</v>
      </c>
      <c r="CD24" s="96">
        <v>79.400000000000006</v>
      </c>
      <c r="CE24" s="96">
        <v>80.099999999999994</v>
      </c>
      <c r="CF24" s="96">
        <v>81.099999999999994</v>
      </c>
      <c r="CG24" s="96">
        <v>94.6</v>
      </c>
      <c r="CH24" s="96">
        <v>90.1</v>
      </c>
      <c r="CI24" s="96">
        <v>91.5</v>
      </c>
    </row>
    <row r="25" spans="1:87" s="2" customFormat="1">
      <c r="A25" s="4" t="s">
        <v>120</v>
      </c>
      <c r="B25" s="4" t="s">
        <v>32</v>
      </c>
      <c r="C25" s="6" t="s">
        <v>15</v>
      </c>
      <c r="D25" s="4" t="s">
        <v>26</v>
      </c>
      <c r="E25" s="4" t="s">
        <v>74</v>
      </c>
      <c r="F25" s="4">
        <v>520</v>
      </c>
      <c r="G25" s="10" t="s">
        <v>10</v>
      </c>
      <c r="H25" s="25">
        <v>441</v>
      </c>
      <c r="I25" s="26" t="s">
        <v>10</v>
      </c>
      <c r="J25" s="25">
        <v>493</v>
      </c>
      <c r="K25" s="26" t="s">
        <v>10</v>
      </c>
      <c r="L25" s="104">
        <v>488</v>
      </c>
      <c r="M25" s="104">
        <v>501</v>
      </c>
      <c r="N25" s="95">
        <f>VLOOKUP($B25,Extract_R__18_08_26!$B$2:$H$75,4,FALSE)</f>
        <v>503</v>
      </c>
      <c r="O25" s="19"/>
      <c r="P25" s="18">
        <f>VLOOKUP($B25,Extract_R__18_08_26!$B$2:$H$75,6,FALSE)</f>
        <v>416</v>
      </c>
      <c r="Q25" s="97">
        <v>97.3</v>
      </c>
      <c r="R25" s="97">
        <v>115.7</v>
      </c>
      <c r="S25" s="97">
        <v>117.7</v>
      </c>
      <c r="T25" s="97">
        <v>54.3</v>
      </c>
      <c r="U25" s="97">
        <v>61.5</v>
      </c>
      <c r="V25" s="97">
        <v>59.9</v>
      </c>
      <c r="W25" s="97">
        <v>8.1999999999999993</v>
      </c>
      <c r="X25" s="97">
        <v>5.7</v>
      </c>
      <c r="Y25" s="97">
        <v>6.6</v>
      </c>
      <c r="Z25" s="97">
        <v>88.4</v>
      </c>
      <c r="AA25" s="97">
        <v>79.8</v>
      </c>
      <c r="AB25" s="97">
        <v>81.7</v>
      </c>
      <c r="AC25" s="97">
        <v>17.399999999999999</v>
      </c>
      <c r="AD25" s="97">
        <v>17.3</v>
      </c>
      <c r="AE25" s="97">
        <v>18</v>
      </c>
      <c r="AF25" s="97">
        <v>2.5499999999999998</v>
      </c>
      <c r="AG25" s="97">
        <v>2.97</v>
      </c>
      <c r="AH25" s="97">
        <v>3.15</v>
      </c>
      <c r="AI25" s="97">
        <v>22.9</v>
      </c>
      <c r="AJ25" s="97">
        <v>21.1</v>
      </c>
      <c r="AK25" s="97">
        <v>21.4</v>
      </c>
      <c r="AL25" s="97">
        <v>87.1</v>
      </c>
      <c r="AM25" s="97">
        <v>87.4</v>
      </c>
      <c r="AN25" s="97">
        <v>85.7</v>
      </c>
      <c r="AO25" s="97">
        <v>2.1</v>
      </c>
      <c r="AP25" s="97">
        <v>1.4</v>
      </c>
      <c r="AQ25" s="97">
        <v>1.5</v>
      </c>
      <c r="AR25" s="97">
        <v>2.1</v>
      </c>
      <c r="AS25" s="97">
        <v>2.1</v>
      </c>
      <c r="AT25" s="97">
        <v>2.5</v>
      </c>
      <c r="AU25" s="95">
        <v>63</v>
      </c>
      <c r="AV25" s="95" t="s">
        <v>223</v>
      </c>
      <c r="AW25" s="95">
        <v>70</v>
      </c>
      <c r="AX25" s="95" t="s">
        <v>223</v>
      </c>
      <c r="AY25" s="95">
        <v>77</v>
      </c>
      <c r="AZ25" s="95" t="s">
        <v>223</v>
      </c>
      <c r="BA25" s="95">
        <v>57.1</v>
      </c>
      <c r="BB25" s="95">
        <v>66.400000000000006</v>
      </c>
      <c r="BC25" s="95">
        <v>80.400000000000006</v>
      </c>
      <c r="BD25" s="95">
        <v>50.4</v>
      </c>
      <c r="BE25" s="95">
        <v>59.3</v>
      </c>
      <c r="BF25" s="95">
        <v>73.099999999999994</v>
      </c>
      <c r="BG25" s="97">
        <v>72.900000000000006</v>
      </c>
      <c r="BH25" s="19" t="s">
        <v>223</v>
      </c>
      <c r="BI25" s="97">
        <v>68.400000000000006</v>
      </c>
      <c r="BJ25" s="97">
        <v>68.5</v>
      </c>
      <c r="BK25" s="97">
        <v>70.599999999999994</v>
      </c>
      <c r="BL25" s="97">
        <v>69.7</v>
      </c>
      <c r="BM25" s="97">
        <v>68</v>
      </c>
      <c r="BN25" s="99">
        <v>41.45</v>
      </c>
      <c r="BO25" s="97">
        <v>53.31</v>
      </c>
      <c r="BP25" s="102">
        <v>53.31</v>
      </c>
      <c r="BQ25" s="99">
        <v>89.8</v>
      </c>
      <c r="BR25" s="99">
        <v>88.9</v>
      </c>
      <c r="BS25" s="99">
        <v>86.3</v>
      </c>
      <c r="BT25" s="97">
        <v>7</v>
      </c>
      <c r="BU25" s="97">
        <v>6.3</v>
      </c>
      <c r="BV25" s="97">
        <v>6.8</v>
      </c>
      <c r="BW25" s="97">
        <v>46.8</v>
      </c>
      <c r="BX25" s="97">
        <v>46.7</v>
      </c>
      <c r="BY25" s="97">
        <v>47</v>
      </c>
      <c r="BZ25" s="18" t="s">
        <v>32</v>
      </c>
      <c r="CA25" s="97">
        <v>32.016632016632016</v>
      </c>
      <c r="CB25" s="97">
        <v>45.00991407799075</v>
      </c>
      <c r="CC25" s="97">
        <f t="shared" si="1"/>
        <v>44.6</v>
      </c>
      <c r="CD25" s="97">
        <v>86.2</v>
      </c>
      <c r="CE25" s="97">
        <v>80.099999999999994</v>
      </c>
      <c r="CF25" s="97">
        <v>81.099999999999994</v>
      </c>
      <c r="CG25" s="97">
        <v>83.2</v>
      </c>
      <c r="CH25" s="97">
        <v>90.1</v>
      </c>
      <c r="CI25" s="97">
        <v>91.5</v>
      </c>
    </row>
    <row r="26" spans="1:87" s="2" customFormat="1">
      <c r="A26" s="4" t="s">
        <v>130</v>
      </c>
      <c r="B26" s="4" t="s">
        <v>58</v>
      </c>
      <c r="C26" s="4" t="s">
        <v>69</v>
      </c>
      <c r="D26" s="4" t="s">
        <v>26</v>
      </c>
      <c r="E26" s="4" t="s">
        <v>78</v>
      </c>
      <c r="F26" s="4">
        <v>217</v>
      </c>
      <c r="G26" s="10" t="s">
        <v>10</v>
      </c>
      <c r="H26" s="25">
        <v>261</v>
      </c>
      <c r="I26" s="26" t="s">
        <v>10</v>
      </c>
      <c r="J26" s="25">
        <v>292</v>
      </c>
      <c r="K26" s="26" t="s">
        <v>10</v>
      </c>
      <c r="L26" s="104">
        <v>292</v>
      </c>
      <c r="M26" s="104">
        <v>0</v>
      </c>
      <c r="N26" s="95">
        <f>VLOOKUP($B26,Extract_R__18_08_26!$B$2:$H$75,4,FALSE)</f>
        <v>284</v>
      </c>
      <c r="O26" s="19"/>
      <c r="P26" s="18">
        <f>VLOOKUP($B26,Extract_R__18_08_26!$B$2:$H$75,6,FALSE)</f>
        <v>0</v>
      </c>
      <c r="Q26" s="97">
        <v>99.1</v>
      </c>
      <c r="R26" s="97">
        <v>119.3</v>
      </c>
      <c r="S26" s="97">
        <v>117.7</v>
      </c>
      <c r="T26" s="97">
        <v>55.8</v>
      </c>
      <c r="U26" s="97">
        <v>58.1</v>
      </c>
      <c r="V26" s="97">
        <v>59.9</v>
      </c>
      <c r="W26" s="97">
        <v>6.8</v>
      </c>
      <c r="X26" s="97">
        <v>7.7</v>
      </c>
      <c r="Y26" s="97">
        <v>6.6</v>
      </c>
      <c r="Z26" s="97">
        <v>86.7</v>
      </c>
      <c r="AA26" s="97">
        <v>83.9</v>
      </c>
      <c r="AB26" s="97">
        <v>81.7</v>
      </c>
      <c r="AC26" s="97">
        <v>28.2</v>
      </c>
      <c r="AD26" s="97">
        <v>19</v>
      </c>
      <c r="AE26" s="97">
        <v>18</v>
      </c>
      <c r="AF26" s="97">
        <v>1.94</v>
      </c>
      <c r="AG26" s="97">
        <v>3.35</v>
      </c>
      <c r="AH26" s="97">
        <v>3.15</v>
      </c>
      <c r="AI26" s="97">
        <v>25.7</v>
      </c>
      <c r="AJ26" s="97">
        <v>21.7</v>
      </c>
      <c r="AK26" s="97">
        <v>21.4</v>
      </c>
      <c r="AL26" s="97">
        <v>77.3</v>
      </c>
      <c r="AM26" s="97">
        <v>83.6</v>
      </c>
      <c r="AN26" s="97">
        <v>85.7</v>
      </c>
      <c r="AO26" s="97">
        <v>3.6</v>
      </c>
      <c r="AP26" s="97">
        <v>1.5</v>
      </c>
      <c r="AQ26" s="97">
        <v>1.5</v>
      </c>
      <c r="AR26" s="97">
        <v>6.4</v>
      </c>
      <c r="AS26" s="97">
        <v>3.1</v>
      </c>
      <c r="AT26" s="97">
        <v>2.5</v>
      </c>
      <c r="AU26" s="95">
        <v>54</v>
      </c>
      <c r="AV26" s="95" t="s">
        <v>223</v>
      </c>
      <c r="AW26" s="95">
        <v>67</v>
      </c>
      <c r="AX26" s="95" t="s">
        <v>223</v>
      </c>
      <c r="AY26" s="95">
        <v>85</v>
      </c>
      <c r="AZ26" s="95" t="s">
        <v>223</v>
      </c>
      <c r="BA26" s="95">
        <v>44.5</v>
      </c>
      <c r="BB26" s="95">
        <v>53.1</v>
      </c>
      <c r="BC26" s="95">
        <v>66.599999999999994</v>
      </c>
      <c r="BD26" s="95">
        <v>50.4</v>
      </c>
      <c r="BE26" s="95">
        <v>59.3</v>
      </c>
      <c r="BF26" s="95">
        <v>73.099999999999994</v>
      </c>
      <c r="BG26" s="97">
        <v>78.3</v>
      </c>
      <c r="BH26" s="19" t="s">
        <v>223</v>
      </c>
      <c r="BI26" s="97">
        <v>68.7</v>
      </c>
      <c r="BJ26" s="97">
        <v>68.5</v>
      </c>
      <c r="BK26" s="97" t="s">
        <v>223</v>
      </c>
      <c r="BL26" s="97" t="s">
        <v>223</v>
      </c>
      <c r="BM26" s="97" t="s">
        <v>223</v>
      </c>
      <c r="BN26" s="99" t="s">
        <v>223</v>
      </c>
      <c r="BO26" s="99" t="s">
        <v>223</v>
      </c>
      <c r="BP26" s="99" t="s">
        <v>223</v>
      </c>
      <c r="BQ26" s="99">
        <v>73.8</v>
      </c>
      <c r="BR26" s="99">
        <v>76.8</v>
      </c>
      <c r="BS26" s="99">
        <v>86.3</v>
      </c>
      <c r="BT26" s="97">
        <v>8.6999999999999993</v>
      </c>
      <c r="BU26" s="97">
        <v>8.3000000000000007</v>
      </c>
      <c r="BV26" s="97">
        <v>6.8</v>
      </c>
      <c r="BW26" s="97">
        <v>49.9</v>
      </c>
      <c r="BX26" s="97">
        <v>48.3</v>
      </c>
      <c r="BY26" s="97">
        <v>47</v>
      </c>
      <c r="BZ26" s="18" t="s">
        <v>58</v>
      </c>
      <c r="CA26" s="97">
        <v>36.643835616438359</v>
      </c>
      <c r="CB26" s="97">
        <v>44.037083860092707</v>
      </c>
      <c r="CC26" s="97">
        <f t="shared" si="1"/>
        <v>44.6</v>
      </c>
      <c r="CD26" s="97">
        <v>89.7</v>
      </c>
      <c r="CE26" s="97">
        <v>83.4</v>
      </c>
      <c r="CF26" s="97">
        <v>81.099999999999994</v>
      </c>
      <c r="CG26" s="97">
        <v>97.9</v>
      </c>
      <c r="CH26" s="97">
        <v>93.9</v>
      </c>
      <c r="CI26" s="97">
        <v>91.5</v>
      </c>
    </row>
    <row r="27" spans="1:87" s="2" customFormat="1">
      <c r="A27" s="4" t="s">
        <v>133</v>
      </c>
      <c r="B27" s="4" t="s">
        <v>61</v>
      </c>
      <c r="C27" s="6" t="s">
        <v>15</v>
      </c>
      <c r="D27" s="4" t="s">
        <v>84</v>
      </c>
      <c r="E27" s="4" t="s">
        <v>74</v>
      </c>
      <c r="F27" s="4">
        <v>174</v>
      </c>
      <c r="G27" s="10" t="s">
        <v>10</v>
      </c>
      <c r="H27" s="25">
        <v>192</v>
      </c>
      <c r="I27" s="26" t="s">
        <v>10</v>
      </c>
      <c r="J27" s="25">
        <v>191</v>
      </c>
      <c r="K27" s="26" t="s">
        <v>10</v>
      </c>
      <c r="L27" s="104">
        <v>191</v>
      </c>
      <c r="M27" s="104">
        <v>23</v>
      </c>
      <c r="N27" s="95">
        <f>VLOOKUP($B27,Extract_R__18_08_26!$B$2:$H$75,4,FALSE)</f>
        <v>183</v>
      </c>
      <c r="O27" s="19"/>
      <c r="P27" s="18">
        <f>VLOOKUP($B27,Extract_R__18_08_26!$B$2:$H$75,6,FALSE)</f>
        <v>27</v>
      </c>
      <c r="Q27" s="97">
        <v>153.4</v>
      </c>
      <c r="R27" s="97">
        <v>115.7</v>
      </c>
      <c r="S27" s="97">
        <v>117.7</v>
      </c>
      <c r="T27" s="97">
        <v>61.8</v>
      </c>
      <c r="U27" s="97">
        <v>61.5</v>
      </c>
      <c r="V27" s="97">
        <v>59.9</v>
      </c>
      <c r="W27" s="97">
        <v>3.7</v>
      </c>
      <c r="X27" s="97">
        <v>5.7</v>
      </c>
      <c r="Y27" s="97">
        <v>6.6</v>
      </c>
      <c r="Z27" s="97">
        <v>71.099999999999994</v>
      </c>
      <c r="AA27" s="97">
        <v>79.8</v>
      </c>
      <c r="AB27" s="97">
        <v>81.7</v>
      </c>
      <c r="AC27" s="97">
        <v>33.299999999999997</v>
      </c>
      <c r="AD27" s="97">
        <v>17.3</v>
      </c>
      <c r="AE27" s="97">
        <v>18</v>
      </c>
      <c r="AF27" s="97">
        <v>4.04</v>
      </c>
      <c r="AG27" s="97">
        <v>2.97</v>
      </c>
      <c r="AH27" s="97">
        <v>3.15</v>
      </c>
      <c r="AI27" s="97">
        <v>18.100000000000001</v>
      </c>
      <c r="AJ27" s="97">
        <v>21.1</v>
      </c>
      <c r="AK27" s="97">
        <v>21.4</v>
      </c>
      <c r="AL27" s="97">
        <v>87</v>
      </c>
      <c r="AM27" s="97">
        <v>87.4</v>
      </c>
      <c r="AN27" s="97">
        <v>85.7</v>
      </c>
      <c r="AO27" s="97">
        <v>0</v>
      </c>
      <c r="AP27" s="97">
        <v>1.4</v>
      </c>
      <c r="AQ27" s="97">
        <v>1.5</v>
      </c>
      <c r="AR27" s="97">
        <v>10.9</v>
      </c>
      <c r="AS27" s="97">
        <v>2.1</v>
      </c>
      <c r="AT27" s="97">
        <v>2.5</v>
      </c>
      <c r="AU27" s="95">
        <v>57</v>
      </c>
      <c r="AV27" s="95" t="s">
        <v>223</v>
      </c>
      <c r="AW27" s="95">
        <v>70</v>
      </c>
      <c r="AX27" s="95" t="s">
        <v>223</v>
      </c>
      <c r="AY27" s="95">
        <v>80</v>
      </c>
      <c r="AZ27" s="95" t="s">
        <v>223</v>
      </c>
      <c r="BA27" s="95">
        <v>57.1</v>
      </c>
      <c r="BB27" s="95">
        <v>66.400000000000006</v>
      </c>
      <c r="BC27" s="95">
        <v>80.400000000000006</v>
      </c>
      <c r="BD27" s="95">
        <v>50.4</v>
      </c>
      <c r="BE27" s="95">
        <v>59.3</v>
      </c>
      <c r="BF27" s="95">
        <v>73.099999999999994</v>
      </c>
      <c r="BG27" s="97">
        <v>77.099999999999994</v>
      </c>
      <c r="BH27" s="19" t="s">
        <v>223</v>
      </c>
      <c r="BI27" s="97">
        <v>68.400000000000006</v>
      </c>
      <c r="BJ27" s="97">
        <v>68.5</v>
      </c>
      <c r="BK27" s="97" t="s">
        <v>223</v>
      </c>
      <c r="BL27" s="97" t="s">
        <v>223</v>
      </c>
      <c r="BM27" s="97" t="s">
        <v>223</v>
      </c>
      <c r="BN27" s="99">
        <v>40.909999999999997</v>
      </c>
      <c r="BO27" s="97">
        <v>53.31</v>
      </c>
      <c r="BP27" s="102">
        <v>53.31</v>
      </c>
      <c r="BQ27" s="99">
        <v>68.900000000000006</v>
      </c>
      <c r="BR27" s="99">
        <v>88.9</v>
      </c>
      <c r="BS27" s="99">
        <v>86.3</v>
      </c>
      <c r="BT27" s="97">
        <v>2.9</v>
      </c>
      <c r="BU27" s="97">
        <v>6.3</v>
      </c>
      <c r="BV27" s="97">
        <v>6.8</v>
      </c>
      <c r="BW27" s="97">
        <v>44.7</v>
      </c>
      <c r="BX27" s="97">
        <v>46.7</v>
      </c>
      <c r="BY27" s="97">
        <v>47</v>
      </c>
      <c r="BZ27" s="18" t="s">
        <v>61</v>
      </c>
      <c r="CA27" s="97">
        <v>50.261780104712038</v>
      </c>
      <c r="CB27" s="97">
        <v>45.00991407799075</v>
      </c>
      <c r="CC27" s="97">
        <f t="shared" si="1"/>
        <v>44.6</v>
      </c>
      <c r="CD27" s="97">
        <v>87.5</v>
      </c>
      <c r="CE27" s="97">
        <v>80.099999999999994</v>
      </c>
      <c r="CF27" s="97">
        <v>81.099999999999994</v>
      </c>
      <c r="CG27" s="97">
        <v>93.9</v>
      </c>
      <c r="CH27" s="97">
        <v>90.1</v>
      </c>
      <c r="CI27" s="97">
        <v>91.5</v>
      </c>
    </row>
    <row r="28" spans="1:87" s="2" customFormat="1">
      <c r="A28" s="4" t="s">
        <v>202</v>
      </c>
      <c r="B28" s="4" t="s">
        <v>67</v>
      </c>
      <c r="C28" s="6" t="s">
        <v>15</v>
      </c>
      <c r="D28" s="4" t="s">
        <v>87</v>
      </c>
      <c r="E28" s="4" t="s">
        <v>74</v>
      </c>
      <c r="F28" s="10" t="s">
        <v>10</v>
      </c>
      <c r="G28" s="10" t="s">
        <v>10</v>
      </c>
      <c r="H28" s="25">
        <v>186</v>
      </c>
      <c r="I28" s="26" t="s">
        <v>10</v>
      </c>
      <c r="J28" s="25">
        <v>184</v>
      </c>
      <c r="K28" s="26" t="s">
        <v>10</v>
      </c>
      <c r="L28" s="104">
        <v>185</v>
      </c>
      <c r="M28" s="104">
        <v>57</v>
      </c>
      <c r="N28" s="95">
        <f>VLOOKUP($B28,Extract_R__18_08_26!$B$2:$H$75,4,FALSE)</f>
        <v>180</v>
      </c>
      <c r="O28" s="19"/>
      <c r="P28" s="18">
        <f>VLOOKUP($B28,Extract_R__18_08_26!$B$2:$H$75,6,FALSE)</f>
        <v>55</v>
      </c>
      <c r="Q28" s="97">
        <v>123.6</v>
      </c>
      <c r="R28" s="97">
        <v>115.7</v>
      </c>
      <c r="S28" s="97">
        <v>117.7</v>
      </c>
      <c r="T28" s="97">
        <v>68.099999999999994</v>
      </c>
      <c r="U28" s="97">
        <v>61.5</v>
      </c>
      <c r="V28" s="97">
        <v>59.9</v>
      </c>
      <c r="W28" s="97">
        <v>7.6</v>
      </c>
      <c r="X28" s="97">
        <v>5.7</v>
      </c>
      <c r="Y28" s="97">
        <v>6.6</v>
      </c>
      <c r="Z28" s="97">
        <v>79.2</v>
      </c>
      <c r="AA28" s="97">
        <v>79.8</v>
      </c>
      <c r="AB28" s="97">
        <v>81.7</v>
      </c>
      <c r="AC28" s="97">
        <v>15.6</v>
      </c>
      <c r="AD28" s="97">
        <v>17.3</v>
      </c>
      <c r="AE28" s="97">
        <v>18</v>
      </c>
      <c r="AF28" s="97">
        <v>3.14</v>
      </c>
      <c r="AG28" s="97">
        <v>2.97</v>
      </c>
      <c r="AH28" s="97">
        <v>3.15</v>
      </c>
      <c r="AI28" s="97">
        <v>14.2</v>
      </c>
      <c r="AJ28" s="97">
        <v>21.1</v>
      </c>
      <c r="AK28" s="97">
        <v>21.4</v>
      </c>
      <c r="AL28" s="97">
        <v>93.2</v>
      </c>
      <c r="AM28" s="97">
        <v>87.4</v>
      </c>
      <c r="AN28" s="97">
        <v>85.7</v>
      </c>
      <c r="AO28" s="97">
        <v>0</v>
      </c>
      <c r="AP28" s="97">
        <v>1.4</v>
      </c>
      <c r="AQ28" s="97">
        <v>1.5</v>
      </c>
      <c r="AR28" s="97">
        <v>0</v>
      </c>
      <c r="AS28" s="97">
        <v>2.1</v>
      </c>
      <c r="AT28" s="97">
        <v>2.5</v>
      </c>
      <c r="AU28" s="95">
        <v>74</v>
      </c>
      <c r="AV28" s="95" t="s">
        <v>223</v>
      </c>
      <c r="AW28" s="95">
        <v>77</v>
      </c>
      <c r="AX28" s="95" t="s">
        <v>223</v>
      </c>
      <c r="AY28" s="95">
        <v>81</v>
      </c>
      <c r="AZ28" s="95" t="s">
        <v>223</v>
      </c>
      <c r="BA28" s="95">
        <v>57.1</v>
      </c>
      <c r="BB28" s="95">
        <v>66.400000000000006</v>
      </c>
      <c r="BC28" s="95">
        <v>80.400000000000006</v>
      </c>
      <c r="BD28" s="95">
        <v>50.4</v>
      </c>
      <c r="BE28" s="95">
        <v>59.3</v>
      </c>
      <c r="BF28" s="95">
        <v>73.099999999999994</v>
      </c>
      <c r="BG28" s="97">
        <v>75</v>
      </c>
      <c r="BH28" s="19" t="s">
        <v>223</v>
      </c>
      <c r="BI28" s="97">
        <v>68.400000000000006</v>
      </c>
      <c r="BJ28" s="97">
        <v>68.5</v>
      </c>
      <c r="BK28" s="97">
        <v>48.3</v>
      </c>
      <c r="BL28" s="97">
        <v>69.7</v>
      </c>
      <c r="BM28" s="97">
        <v>68</v>
      </c>
      <c r="BN28" s="99">
        <v>39.19</v>
      </c>
      <c r="BO28" s="97">
        <v>53.31</v>
      </c>
      <c r="BP28" s="102">
        <v>53.31</v>
      </c>
      <c r="BQ28" s="99">
        <v>85.4</v>
      </c>
      <c r="BR28" s="99">
        <v>88.9</v>
      </c>
      <c r="BS28" s="99">
        <v>86.3</v>
      </c>
      <c r="BT28" s="97">
        <v>3.4</v>
      </c>
      <c r="BU28" s="97">
        <v>6.3</v>
      </c>
      <c r="BV28" s="97">
        <v>6.8</v>
      </c>
      <c r="BW28" s="97">
        <v>42.8</v>
      </c>
      <c r="BX28" s="97">
        <v>46.7</v>
      </c>
      <c r="BY28" s="97">
        <v>47</v>
      </c>
      <c r="BZ28" s="18" t="s">
        <v>67</v>
      </c>
      <c r="CA28" s="97">
        <v>52.699228791773777</v>
      </c>
      <c r="CB28" s="97">
        <v>45.00991407799075</v>
      </c>
      <c r="CC28" s="97">
        <f t="shared" si="1"/>
        <v>44.6</v>
      </c>
      <c r="CD28" s="97">
        <v>86.2</v>
      </c>
      <c r="CE28" s="97">
        <v>80.099999999999994</v>
      </c>
      <c r="CF28" s="97">
        <v>81.099999999999994</v>
      </c>
      <c r="CG28" s="97">
        <v>94.7</v>
      </c>
      <c r="CH28" s="97">
        <v>90.1</v>
      </c>
      <c r="CI28" s="97">
        <v>91.5</v>
      </c>
    </row>
    <row r="29" spans="1:87" s="2" customFormat="1">
      <c r="A29" s="4" t="s">
        <v>137</v>
      </c>
      <c r="B29" s="4" t="s">
        <v>68</v>
      </c>
      <c r="C29" s="6" t="s">
        <v>15</v>
      </c>
      <c r="D29" s="4" t="s">
        <v>80</v>
      </c>
      <c r="E29" s="4" t="s">
        <v>74</v>
      </c>
      <c r="F29" s="10" t="s">
        <v>10</v>
      </c>
      <c r="G29" s="10" t="s">
        <v>10</v>
      </c>
      <c r="H29" s="25">
        <v>191</v>
      </c>
      <c r="I29" s="26" t="s">
        <v>10</v>
      </c>
      <c r="J29" s="25">
        <v>241</v>
      </c>
      <c r="K29" s="26" t="s">
        <v>10</v>
      </c>
      <c r="L29" s="104">
        <v>241</v>
      </c>
      <c r="M29" s="104">
        <v>110</v>
      </c>
      <c r="N29" s="95">
        <f>VLOOKUP($B29,Extract_R__18_08_26!$B$2:$H$75,4,FALSE)</f>
        <v>231</v>
      </c>
      <c r="O29" s="19"/>
      <c r="P29" s="18">
        <f>VLOOKUP($B29,Extract_R__18_08_26!$B$2:$H$75,6,FALSE)</f>
        <v>105</v>
      </c>
      <c r="Q29" s="97">
        <v>99.5</v>
      </c>
      <c r="R29" s="97">
        <v>115.7</v>
      </c>
      <c r="S29" s="97">
        <v>117.7</v>
      </c>
      <c r="T29" s="97">
        <v>56.4</v>
      </c>
      <c r="U29" s="97">
        <v>61.5</v>
      </c>
      <c r="V29" s="97">
        <v>59.9</v>
      </c>
      <c r="W29" s="97">
        <v>7.5</v>
      </c>
      <c r="X29" s="97">
        <v>5.7</v>
      </c>
      <c r="Y29" s="97">
        <v>6.6</v>
      </c>
      <c r="Z29" s="97">
        <v>85.3</v>
      </c>
      <c r="AA29" s="97">
        <v>79.8</v>
      </c>
      <c r="AB29" s="97">
        <v>81.7</v>
      </c>
      <c r="AC29" s="97">
        <v>19.399999999999999</v>
      </c>
      <c r="AD29" s="97">
        <v>17.3</v>
      </c>
      <c r="AE29" s="97">
        <v>18</v>
      </c>
      <c r="AF29" s="97">
        <v>2.41</v>
      </c>
      <c r="AG29" s="97">
        <v>2.97</v>
      </c>
      <c r="AH29" s="97">
        <v>3.15</v>
      </c>
      <c r="AI29" s="97">
        <v>23.6</v>
      </c>
      <c r="AJ29" s="97">
        <v>21.1</v>
      </c>
      <c r="AK29" s="97">
        <v>21.4</v>
      </c>
      <c r="AL29" s="97">
        <v>81.099999999999994</v>
      </c>
      <c r="AM29" s="97">
        <v>87.4</v>
      </c>
      <c r="AN29" s="97">
        <v>85.7</v>
      </c>
      <c r="AO29" s="97">
        <v>0</v>
      </c>
      <c r="AP29" s="97">
        <v>1.4</v>
      </c>
      <c r="AQ29" s="97">
        <v>1.5</v>
      </c>
      <c r="AR29" s="97">
        <v>2.7</v>
      </c>
      <c r="AS29" s="97">
        <v>2.1</v>
      </c>
      <c r="AT29" s="97">
        <v>2.5</v>
      </c>
      <c r="AU29" s="95">
        <v>84</v>
      </c>
      <c r="AV29" s="95" t="s">
        <v>223</v>
      </c>
      <c r="AW29" s="95">
        <v>89</v>
      </c>
      <c r="AX29" s="95" t="s">
        <v>223</v>
      </c>
      <c r="AY29" s="95">
        <v>92</v>
      </c>
      <c r="AZ29" s="95" t="s">
        <v>223</v>
      </c>
      <c r="BA29" s="95">
        <v>57.1</v>
      </c>
      <c r="BB29" s="95">
        <v>66.400000000000006</v>
      </c>
      <c r="BC29" s="95">
        <v>80.400000000000006</v>
      </c>
      <c r="BD29" s="95">
        <v>50.4</v>
      </c>
      <c r="BE29" s="95">
        <v>59.3</v>
      </c>
      <c r="BF29" s="95">
        <v>73.099999999999994</v>
      </c>
      <c r="BG29" s="97">
        <v>78.900000000000006</v>
      </c>
      <c r="BH29" s="19" t="s">
        <v>223</v>
      </c>
      <c r="BI29" s="97">
        <v>68.400000000000006</v>
      </c>
      <c r="BJ29" s="97">
        <v>68.5</v>
      </c>
      <c r="BK29" s="97">
        <v>58.3</v>
      </c>
      <c r="BL29" s="97">
        <v>69.7</v>
      </c>
      <c r="BM29" s="97">
        <v>68</v>
      </c>
      <c r="BN29" s="99">
        <v>54.95</v>
      </c>
      <c r="BO29" s="97">
        <v>53.31</v>
      </c>
      <c r="BP29" s="102">
        <v>53.31</v>
      </c>
      <c r="BQ29" s="99">
        <v>87.9</v>
      </c>
      <c r="BR29" s="99">
        <v>88.9</v>
      </c>
      <c r="BS29" s="99">
        <v>86.3</v>
      </c>
      <c r="BT29" s="97">
        <v>4.3</v>
      </c>
      <c r="BU29" s="97">
        <v>6.3</v>
      </c>
      <c r="BV29" s="97">
        <v>6.8</v>
      </c>
      <c r="BW29" s="97">
        <v>45</v>
      </c>
      <c r="BX29" s="97">
        <v>46.7</v>
      </c>
      <c r="BY29" s="97">
        <v>47</v>
      </c>
      <c r="BZ29" s="18" t="s">
        <v>68</v>
      </c>
      <c r="CA29" s="97">
        <v>28.215767634854771</v>
      </c>
      <c r="CB29" s="97">
        <v>45.00991407799075</v>
      </c>
      <c r="CC29" s="97">
        <f t="shared" si="1"/>
        <v>44.6</v>
      </c>
      <c r="CD29" s="97">
        <v>65.3</v>
      </c>
      <c r="CE29" s="97">
        <v>80.099999999999994</v>
      </c>
      <c r="CF29" s="97">
        <v>81.099999999999994</v>
      </c>
      <c r="CG29" s="97">
        <v>76.099999999999994</v>
      </c>
      <c r="CH29" s="97">
        <v>90.1</v>
      </c>
      <c r="CI29" s="97">
        <v>91.5</v>
      </c>
    </row>
    <row r="30" spans="1:87">
      <c r="B30" s="12">
        <v>1</v>
      </c>
      <c r="C30" s="12">
        <v>2</v>
      </c>
      <c r="D30" s="12">
        <v>3</v>
      </c>
      <c r="E30" s="12">
        <v>4</v>
      </c>
      <c r="F30" s="12">
        <v>5</v>
      </c>
      <c r="G30" s="12">
        <v>6</v>
      </c>
      <c r="H30" s="12">
        <v>7</v>
      </c>
      <c r="I30" s="12">
        <v>8</v>
      </c>
      <c r="J30" s="12">
        <v>9</v>
      </c>
      <c r="K30" s="12">
        <v>10</v>
      </c>
      <c r="L30" s="12">
        <v>11</v>
      </c>
      <c r="M30" s="12">
        <v>12</v>
      </c>
      <c r="N30" s="12">
        <v>13</v>
      </c>
      <c r="O30" s="12">
        <v>14</v>
      </c>
      <c r="P30" s="12">
        <v>15</v>
      </c>
      <c r="Q30" s="12">
        <v>16</v>
      </c>
      <c r="R30" s="12">
        <v>17</v>
      </c>
      <c r="S30" s="12">
        <v>18</v>
      </c>
      <c r="T30" s="12">
        <v>19</v>
      </c>
      <c r="U30" s="12">
        <v>20</v>
      </c>
      <c r="V30" s="12">
        <v>21</v>
      </c>
      <c r="W30" s="12">
        <v>22</v>
      </c>
      <c r="X30" s="12">
        <v>23</v>
      </c>
      <c r="Y30" s="12">
        <v>24</v>
      </c>
      <c r="Z30" s="12">
        <v>25</v>
      </c>
      <c r="AA30" s="12">
        <v>26</v>
      </c>
      <c r="AB30" s="12">
        <v>27</v>
      </c>
      <c r="AC30" s="12">
        <v>28</v>
      </c>
      <c r="AD30" s="12">
        <v>29</v>
      </c>
      <c r="AE30" s="12">
        <v>30</v>
      </c>
      <c r="AF30" s="12">
        <v>31</v>
      </c>
      <c r="AG30" s="12">
        <v>32</v>
      </c>
      <c r="AH30" s="12">
        <v>33</v>
      </c>
      <c r="AI30" s="12">
        <v>34</v>
      </c>
      <c r="AJ30" s="12">
        <v>35</v>
      </c>
      <c r="AK30" s="12">
        <v>36</v>
      </c>
      <c r="AL30" s="12">
        <v>37</v>
      </c>
      <c r="AM30" s="12">
        <v>38</v>
      </c>
      <c r="AN30" s="12">
        <v>39</v>
      </c>
      <c r="AO30" s="12">
        <v>40</v>
      </c>
      <c r="AP30" s="12">
        <v>41</v>
      </c>
      <c r="AQ30" s="12">
        <v>42</v>
      </c>
      <c r="AR30" s="12">
        <v>43</v>
      </c>
      <c r="AS30" s="12">
        <v>44</v>
      </c>
      <c r="AT30" s="12">
        <v>45</v>
      </c>
      <c r="AU30" s="12">
        <v>46</v>
      </c>
      <c r="AV30" s="12">
        <v>47</v>
      </c>
      <c r="AW30" s="12">
        <v>48</v>
      </c>
      <c r="AX30" s="12">
        <v>49</v>
      </c>
      <c r="AY30" s="12">
        <v>50</v>
      </c>
      <c r="AZ30" s="12">
        <v>51</v>
      </c>
      <c r="BA30" s="12">
        <v>52</v>
      </c>
      <c r="BB30" s="12">
        <v>53</v>
      </c>
      <c r="BC30" s="12">
        <v>54</v>
      </c>
      <c r="BD30" s="12">
        <v>55</v>
      </c>
      <c r="BE30" s="12">
        <v>56</v>
      </c>
      <c r="BF30" s="12">
        <v>57</v>
      </c>
      <c r="BG30" s="12">
        <v>58</v>
      </c>
      <c r="BH30" s="12">
        <v>59</v>
      </c>
      <c r="BI30" s="12">
        <v>60</v>
      </c>
      <c r="BJ30" s="12">
        <v>61</v>
      </c>
      <c r="BK30" s="12">
        <v>62</v>
      </c>
      <c r="BL30" s="12">
        <v>63</v>
      </c>
      <c r="BM30" s="12">
        <v>64</v>
      </c>
      <c r="BN30" s="12">
        <v>65</v>
      </c>
      <c r="BO30" s="12">
        <v>66</v>
      </c>
      <c r="BP30" s="12">
        <v>67</v>
      </c>
      <c r="BQ30" s="12">
        <v>68</v>
      </c>
      <c r="BR30" s="12">
        <v>69</v>
      </c>
      <c r="BS30" s="12">
        <v>70</v>
      </c>
      <c r="BT30" s="12">
        <v>71</v>
      </c>
      <c r="BU30" s="12">
        <v>72</v>
      </c>
      <c r="BV30" s="12">
        <v>73</v>
      </c>
      <c r="BW30" s="12">
        <v>74</v>
      </c>
      <c r="BX30" s="12">
        <v>75</v>
      </c>
      <c r="BY30" s="12">
        <v>76</v>
      </c>
      <c r="BZ30" s="12">
        <v>77</v>
      </c>
      <c r="CA30" s="12">
        <v>78</v>
      </c>
      <c r="CB30" s="12">
        <v>79</v>
      </c>
      <c r="CC30" s="12">
        <v>80</v>
      </c>
      <c r="CD30" s="12">
        <v>81</v>
      </c>
      <c r="CE30" s="12">
        <v>82</v>
      </c>
      <c r="CF30" s="12">
        <v>83</v>
      </c>
      <c r="CG30" s="12">
        <v>84</v>
      </c>
      <c r="CH30" s="12">
        <v>85</v>
      </c>
      <c r="CI30" s="12">
        <v>86</v>
      </c>
    </row>
    <row r="31" spans="1:87">
      <c r="AW31" s="12"/>
      <c r="AX31" s="12"/>
      <c r="AY31" s="12"/>
      <c r="AZ31" s="12"/>
      <c r="BB31" s="12"/>
      <c r="BC31" s="12"/>
      <c r="BE31" s="12"/>
      <c r="BF31" s="12"/>
    </row>
    <row r="32" spans="1:87">
      <c r="AW32" s="12"/>
      <c r="AX32" s="12"/>
      <c r="AY32" s="12"/>
      <c r="AZ32" s="12"/>
      <c r="BB32" s="12"/>
      <c r="BC32" s="12"/>
      <c r="BE32" s="12"/>
      <c r="BF32" s="12"/>
    </row>
    <row r="33" spans="1:78">
      <c r="AW33" s="12"/>
      <c r="AX33" s="12"/>
      <c r="AY33" s="12"/>
      <c r="AZ33" s="12"/>
      <c r="BB33" s="12"/>
      <c r="BC33" s="12"/>
      <c r="BE33" s="12"/>
      <c r="BF33" s="12"/>
    </row>
    <row r="34" spans="1:78" s="13" customFormat="1" ht="38.25">
      <c r="D34" s="13" t="s">
        <v>196</v>
      </c>
      <c r="E34" s="13" t="s">
        <v>194</v>
      </c>
      <c r="F34" s="13" t="s">
        <v>47</v>
      </c>
      <c r="G34" s="13" t="s">
        <v>29</v>
      </c>
      <c r="H34" s="13" t="s">
        <v>31</v>
      </c>
      <c r="I34" s="13" t="s">
        <v>48</v>
      </c>
      <c r="J34" s="13" t="s">
        <v>49</v>
      </c>
      <c r="K34" s="13" t="s">
        <v>167</v>
      </c>
      <c r="L34" s="13" t="s">
        <v>30</v>
      </c>
      <c r="AW34" s="21"/>
      <c r="AX34" s="21"/>
      <c r="AY34" s="21"/>
      <c r="AZ34" s="21"/>
      <c r="BB34" s="21"/>
      <c r="BC34" s="21"/>
      <c r="BE34" s="21"/>
      <c r="BF34" s="21"/>
    </row>
    <row r="35" spans="1:78" s="2" customFormat="1">
      <c r="A35" s="2" t="s">
        <v>119</v>
      </c>
      <c r="B35" s="2" t="s">
        <v>62</v>
      </c>
      <c r="D35" s="100">
        <v>5</v>
      </c>
      <c r="E35" s="100">
        <v>5</v>
      </c>
      <c r="F35" s="100">
        <v>-1.25</v>
      </c>
      <c r="G35" s="100">
        <v>-4.3548390000000001</v>
      </c>
      <c r="H35" s="100">
        <v>-2.5806450000000001</v>
      </c>
      <c r="I35" s="96">
        <v>2.1604939999999999</v>
      </c>
      <c r="J35" s="96">
        <v>2.5</v>
      </c>
      <c r="K35" s="96">
        <v>2.7976190000000001</v>
      </c>
      <c r="L35" s="100">
        <v>4.8684209999999997</v>
      </c>
      <c r="R35" s="14"/>
      <c r="S35" s="14"/>
      <c r="T35" s="14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K35" s="7"/>
      <c r="AL35" s="7"/>
      <c r="AM35" s="7"/>
      <c r="AN35" s="7"/>
      <c r="AO35" s="7"/>
      <c r="AP35" s="7"/>
      <c r="AQ35" s="7"/>
      <c r="AR35" s="7"/>
      <c r="AU35" s="7"/>
      <c r="AV35" s="7"/>
      <c r="AW35" s="12"/>
      <c r="AX35" s="12"/>
      <c r="AY35" s="12"/>
      <c r="AZ35" s="12"/>
      <c r="BA35" s="7"/>
      <c r="BB35" s="12"/>
      <c r="BC35" s="12"/>
      <c r="BD35" s="7"/>
      <c r="BE35" s="12"/>
      <c r="BF35" s="12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</row>
    <row r="36" spans="1:78" s="2" customFormat="1">
      <c r="A36" s="2" t="s">
        <v>120</v>
      </c>
      <c r="B36" s="2" t="s">
        <v>32</v>
      </c>
      <c r="D36" s="100">
        <v>5</v>
      </c>
      <c r="E36" s="100">
        <v>-3.461538</v>
      </c>
      <c r="F36" s="100">
        <v>-1.607143</v>
      </c>
      <c r="G36" s="100">
        <v>1.886792</v>
      </c>
      <c r="H36" s="100">
        <v>1.3095239999999999</v>
      </c>
      <c r="I36" s="96">
        <v>-3.2369940000000001</v>
      </c>
      <c r="J36" s="96">
        <v>-2.1518989999999998</v>
      </c>
      <c r="K36" s="96">
        <v>-0.57926800000000001</v>
      </c>
      <c r="L36" s="100">
        <v>2.302632</v>
      </c>
      <c r="R36" s="14"/>
      <c r="S36" s="14"/>
      <c r="T36" s="14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K36" s="12" t="s">
        <v>230</v>
      </c>
      <c r="AL36" s="7"/>
      <c r="AM36" s="7"/>
      <c r="AN36" s="7"/>
      <c r="AO36" s="7"/>
      <c r="AP36" s="7"/>
      <c r="AQ36" s="7"/>
      <c r="AR36" s="7"/>
      <c r="AU36" s="7"/>
      <c r="AV36" s="7"/>
      <c r="AW36" s="12"/>
      <c r="AX36" s="12"/>
      <c r="AY36" s="12"/>
      <c r="AZ36" s="12"/>
      <c r="BA36" s="7"/>
      <c r="BB36" s="12"/>
      <c r="BC36" s="12"/>
      <c r="BD36" s="7"/>
      <c r="BE36" s="12"/>
      <c r="BF36" s="12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</row>
    <row r="37" spans="1:78" s="2" customFormat="1">
      <c r="A37" s="2" t="s">
        <v>122</v>
      </c>
      <c r="B37" s="2" t="s">
        <v>63</v>
      </c>
      <c r="D37" s="100">
        <v>5</v>
      </c>
      <c r="E37" s="100">
        <v>3.7731479999999999</v>
      </c>
      <c r="F37" s="100">
        <v>5</v>
      </c>
      <c r="G37" s="100">
        <v>1.698113</v>
      </c>
      <c r="H37" s="100">
        <v>-3.548387</v>
      </c>
      <c r="I37" s="96">
        <v>2.2839510000000001</v>
      </c>
      <c r="J37" s="96">
        <v>-0.25316499999999997</v>
      </c>
      <c r="K37" s="96">
        <v>3.9880949999999999</v>
      </c>
      <c r="L37" s="100">
        <v>-2.643678</v>
      </c>
      <c r="R37" s="14"/>
      <c r="S37" s="14"/>
      <c r="T37" s="14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K37" s="7"/>
      <c r="AL37" s="7"/>
      <c r="AM37" s="7"/>
      <c r="AN37" s="7"/>
      <c r="AO37" s="7"/>
      <c r="AP37" s="7"/>
      <c r="AQ37" s="7"/>
      <c r="AR37" s="7"/>
      <c r="AU37" s="7"/>
      <c r="AV37" s="7"/>
      <c r="AW37" s="12"/>
      <c r="AX37" s="12"/>
      <c r="AY37" s="12"/>
      <c r="AZ37" s="12"/>
      <c r="BA37" s="7"/>
      <c r="BB37" s="12"/>
      <c r="BC37" s="12"/>
      <c r="BD37" s="7"/>
      <c r="BE37" s="12"/>
      <c r="BF37" s="12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</row>
    <row r="38" spans="1:78" s="2" customFormat="1">
      <c r="A38" s="2" t="s">
        <v>130</v>
      </c>
      <c r="B38" s="2" t="s">
        <v>58</v>
      </c>
      <c r="D38" s="100">
        <v>4.3233079999999999</v>
      </c>
      <c r="E38" s="100">
        <v>-2.8125</v>
      </c>
      <c r="F38" s="100">
        <v>-0.71428599999999998</v>
      </c>
      <c r="G38" s="100">
        <v>1.226415</v>
      </c>
      <c r="H38" s="100">
        <v>1.25</v>
      </c>
      <c r="I38" s="96">
        <v>-5</v>
      </c>
      <c r="J38" s="96">
        <v>-5</v>
      </c>
      <c r="K38" s="96">
        <v>-3.8109760000000001</v>
      </c>
      <c r="L38" s="100">
        <v>-3.5919539999999999</v>
      </c>
      <c r="R38" s="22"/>
      <c r="S38" s="14"/>
      <c r="T38" s="14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K38" s="7"/>
      <c r="AL38" s="7"/>
      <c r="AM38" s="7"/>
      <c r="AN38" s="7"/>
      <c r="AO38" s="7"/>
      <c r="AP38" s="7"/>
      <c r="AQ38" s="7"/>
      <c r="AR38" s="7"/>
      <c r="AU38" s="7"/>
      <c r="AV38" s="7"/>
      <c r="AW38" s="12"/>
      <c r="AX38" s="12"/>
      <c r="AY38" s="12"/>
      <c r="AZ38" s="12"/>
      <c r="BA38" s="7"/>
      <c r="BB38" s="12"/>
      <c r="BC38" s="12"/>
      <c r="BD38" s="7"/>
      <c r="BE38" s="12"/>
      <c r="BF38" s="12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</row>
    <row r="39" spans="1:78" s="2" customFormat="1">
      <c r="A39" s="2" t="s">
        <v>133</v>
      </c>
      <c r="B39" s="2" t="s">
        <v>61</v>
      </c>
      <c r="D39" s="100">
        <v>-3.0880230000000002</v>
      </c>
      <c r="E39" s="100">
        <v>-3.7019229999999999</v>
      </c>
      <c r="F39" s="100">
        <v>-0.89285700000000001</v>
      </c>
      <c r="G39" s="100">
        <v>1.698113</v>
      </c>
      <c r="H39" s="100">
        <v>2.1428569999999998</v>
      </c>
      <c r="I39" s="96">
        <v>5</v>
      </c>
      <c r="J39" s="96">
        <v>3.6111110000000002</v>
      </c>
      <c r="K39" s="96">
        <v>5</v>
      </c>
      <c r="L39" s="100">
        <v>-5</v>
      </c>
      <c r="R39" s="22"/>
      <c r="S39" s="14"/>
      <c r="T39" s="14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K39" s="7"/>
      <c r="AL39" s="7"/>
      <c r="AM39" s="7"/>
      <c r="AN39" s="7"/>
      <c r="AO39" s="7"/>
      <c r="AP39" s="7"/>
      <c r="AQ39" s="7"/>
      <c r="AR39" s="7"/>
      <c r="AU39" s="7"/>
      <c r="AV39" s="7"/>
      <c r="AW39" s="12"/>
      <c r="AX39" s="12"/>
      <c r="AY39" s="12"/>
      <c r="AZ39" s="12"/>
      <c r="BA39" s="7"/>
      <c r="BB39" s="12"/>
      <c r="BC39" s="12"/>
      <c r="BD39" s="7"/>
      <c r="BE39" s="12"/>
      <c r="BF39" s="12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</row>
    <row r="40" spans="1:78" s="2" customFormat="1">
      <c r="A40" s="2" t="s">
        <v>134</v>
      </c>
      <c r="B40" s="2" t="s">
        <v>64</v>
      </c>
      <c r="D40" s="100">
        <v>3.4962409999999999</v>
      </c>
      <c r="E40" s="100">
        <v>-2.5</v>
      </c>
      <c r="F40" s="100">
        <v>2.5</v>
      </c>
      <c r="G40" s="100">
        <v>5</v>
      </c>
      <c r="H40" s="100">
        <v>0.83333299999999999</v>
      </c>
      <c r="I40" s="96">
        <v>-0.20231199999999999</v>
      </c>
      <c r="J40" s="96">
        <v>-1.5822780000000001</v>
      </c>
      <c r="K40" s="96">
        <v>-2.6219510000000001</v>
      </c>
      <c r="L40" s="100">
        <v>-1.9540230000000001</v>
      </c>
      <c r="R40" s="14"/>
      <c r="S40" s="14"/>
      <c r="T40" s="14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K40" s="7"/>
      <c r="AL40" s="7"/>
      <c r="AM40" s="7"/>
      <c r="AN40" s="7"/>
      <c r="AO40" s="7"/>
      <c r="AP40" s="7"/>
      <c r="AQ40" s="7"/>
      <c r="AR40" s="7"/>
      <c r="AU40" s="7"/>
      <c r="AV40" s="7"/>
      <c r="AW40" s="12"/>
      <c r="AX40" s="12"/>
      <c r="AY40" s="12"/>
      <c r="AZ40" s="12"/>
      <c r="BA40" s="7"/>
      <c r="BB40" s="12"/>
      <c r="BC40" s="12"/>
      <c r="BD40" s="7"/>
      <c r="BE40" s="12"/>
      <c r="BF40" s="12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</row>
    <row r="41" spans="1:78" s="2" customFormat="1">
      <c r="A41" s="2" t="s">
        <v>135</v>
      </c>
      <c r="B41" s="2" t="s">
        <v>65</v>
      </c>
      <c r="D41" s="100">
        <v>-1.9408369999999999</v>
      </c>
      <c r="E41" s="100">
        <v>-4.350962</v>
      </c>
      <c r="F41" s="100">
        <v>-5</v>
      </c>
      <c r="G41" s="100">
        <v>2.264151</v>
      </c>
      <c r="H41" s="100">
        <v>3.0952380000000002</v>
      </c>
      <c r="I41" s="96">
        <v>6.1727999999999998E-2</v>
      </c>
      <c r="J41" s="96">
        <v>0.27777800000000002</v>
      </c>
      <c r="K41" s="96">
        <v>0.95238100000000003</v>
      </c>
      <c r="L41" s="100">
        <v>-0.60344799999999998</v>
      </c>
      <c r="R41" s="14"/>
      <c r="S41" s="14"/>
      <c r="T41" s="14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K41" s="7"/>
      <c r="AL41" s="7"/>
      <c r="AM41" s="7"/>
      <c r="AN41" s="7"/>
      <c r="AO41" s="7"/>
      <c r="AP41" s="7"/>
      <c r="AQ41" s="7"/>
      <c r="AR41" s="7"/>
      <c r="AU41" s="7"/>
      <c r="AV41" s="7"/>
      <c r="AW41" s="12"/>
      <c r="AX41" s="12"/>
      <c r="AY41" s="12"/>
      <c r="AZ41" s="12"/>
      <c r="BA41" s="7"/>
      <c r="BB41" s="12"/>
      <c r="BC41" s="12"/>
      <c r="BD41" s="7"/>
      <c r="BE41" s="12"/>
      <c r="BF41" s="12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</row>
    <row r="42" spans="1:78" s="2" customFormat="1">
      <c r="A42" s="2" t="s">
        <v>136</v>
      </c>
      <c r="B42" s="2" t="s">
        <v>66</v>
      </c>
      <c r="D42" s="100">
        <v>3.947368</v>
      </c>
      <c r="E42" s="100">
        <v>-1.2980769999999999</v>
      </c>
      <c r="F42" s="100">
        <v>-0.89285700000000001</v>
      </c>
      <c r="G42" s="100">
        <v>-5</v>
      </c>
      <c r="H42" s="100">
        <v>-5</v>
      </c>
      <c r="I42" s="96">
        <v>4.3827160000000003</v>
      </c>
      <c r="J42" s="96">
        <v>2.0833330000000001</v>
      </c>
      <c r="K42" s="96">
        <v>-0.731707</v>
      </c>
      <c r="L42" s="100">
        <v>5</v>
      </c>
      <c r="R42" s="14"/>
      <c r="S42" s="14"/>
      <c r="T42" s="14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K42" s="7"/>
      <c r="AL42" s="7"/>
      <c r="AM42" s="7"/>
      <c r="AN42" s="7"/>
      <c r="AO42" s="7"/>
      <c r="AP42" s="7"/>
      <c r="AQ42" s="7"/>
      <c r="AR42" s="7"/>
      <c r="AU42" s="7"/>
      <c r="AV42" s="7"/>
      <c r="AW42" s="12"/>
      <c r="AX42" s="12"/>
      <c r="AY42" s="12"/>
      <c r="AZ42" s="12"/>
      <c r="BA42" s="7"/>
      <c r="BB42" s="12"/>
      <c r="BC42" s="12"/>
      <c r="BD42" s="7"/>
      <c r="BE42" s="12"/>
      <c r="BF42" s="12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</row>
    <row r="43" spans="1:78" s="2" customFormat="1">
      <c r="A43" s="2" t="s">
        <v>138</v>
      </c>
      <c r="B43" s="2" t="s">
        <v>67</v>
      </c>
      <c r="D43" s="100">
        <v>-0.93795099999999998</v>
      </c>
      <c r="E43" s="100">
        <v>-2.355769</v>
      </c>
      <c r="F43" s="100">
        <v>1.875</v>
      </c>
      <c r="G43" s="100">
        <v>1.603774</v>
      </c>
      <c r="H43" s="100">
        <v>1.130952</v>
      </c>
      <c r="I43" s="96">
        <v>-2.7167629999999998</v>
      </c>
      <c r="J43" s="96">
        <v>0.55555600000000005</v>
      </c>
      <c r="K43" s="96">
        <v>-0.64024400000000004</v>
      </c>
      <c r="L43" s="100">
        <v>-0.25862099999999999</v>
      </c>
      <c r="R43" s="22"/>
      <c r="S43" s="14"/>
      <c r="T43" s="14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K43" s="7"/>
      <c r="AL43" s="7"/>
      <c r="AM43" s="7"/>
      <c r="AN43" s="7"/>
      <c r="AO43" s="7"/>
      <c r="AP43" s="7"/>
      <c r="AQ43" s="7"/>
      <c r="AR43" s="7"/>
      <c r="AU43" s="7"/>
      <c r="AV43" s="7"/>
      <c r="AW43" s="12"/>
      <c r="AX43" s="12"/>
      <c r="AY43" s="12"/>
      <c r="AZ43" s="12"/>
      <c r="BA43" s="7"/>
      <c r="BB43" s="12"/>
      <c r="BC43" s="12"/>
      <c r="BD43" s="7"/>
      <c r="BE43" s="12"/>
      <c r="BF43" s="12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</row>
    <row r="44" spans="1:78" s="2" customFormat="1">
      <c r="A44" s="2" t="s">
        <v>137</v>
      </c>
      <c r="B44" s="2" t="s">
        <v>68</v>
      </c>
      <c r="D44" s="100">
        <v>4.1729320000000003</v>
      </c>
      <c r="E44" s="100">
        <v>-1.899038</v>
      </c>
      <c r="F44" s="100">
        <v>-2.1428569999999998</v>
      </c>
      <c r="G44" s="100">
        <v>0.18867900000000001</v>
      </c>
      <c r="H44" s="100">
        <v>0.89285700000000001</v>
      </c>
      <c r="I44" s="96">
        <v>-0.75144500000000003</v>
      </c>
      <c r="J44" s="96">
        <v>5</v>
      </c>
      <c r="K44" s="96">
        <v>-0.36585400000000001</v>
      </c>
      <c r="L44" s="100">
        <v>1.052632</v>
      </c>
      <c r="R44" s="22"/>
      <c r="S44" s="14"/>
      <c r="T44" s="14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K44" s="7"/>
      <c r="AL44" s="7"/>
      <c r="AM44" s="7"/>
      <c r="AN44" s="7"/>
      <c r="AO44" s="7"/>
      <c r="AP44" s="7"/>
      <c r="AQ44" s="7"/>
      <c r="AR44" s="7"/>
      <c r="AU44" s="7"/>
      <c r="AV44" s="7"/>
      <c r="AW44" s="12"/>
      <c r="AX44" s="12"/>
      <c r="AY44" s="12"/>
      <c r="AZ44" s="12"/>
      <c r="BA44" s="7"/>
      <c r="BB44" s="12"/>
      <c r="BC44" s="12"/>
      <c r="BD44" s="7"/>
      <c r="BE44" s="12"/>
      <c r="BF44" s="12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</row>
    <row r="45" spans="1:78" s="2" customFormat="1"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12"/>
      <c r="AX45" s="12"/>
      <c r="AY45" s="12"/>
      <c r="AZ45" s="12"/>
      <c r="BA45" s="7"/>
      <c r="BB45" s="12"/>
      <c r="BC45" s="12"/>
      <c r="BD45" s="7"/>
      <c r="BE45" s="12"/>
      <c r="BF45" s="12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</row>
    <row r="46" spans="1:78" s="2" customFormat="1"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12"/>
      <c r="AX46" s="12"/>
      <c r="AY46" s="12"/>
      <c r="AZ46" s="12"/>
      <c r="BA46" s="7"/>
      <c r="BB46" s="12"/>
      <c r="BC46" s="12"/>
      <c r="BD46" s="7"/>
      <c r="BE46" s="12"/>
      <c r="BF46" s="12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</row>
    <row r="47" spans="1:78" s="2" customFormat="1"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12"/>
      <c r="AX47" s="12"/>
      <c r="AY47" s="12"/>
      <c r="AZ47" s="12"/>
      <c r="BA47" s="7"/>
      <c r="BB47" s="12"/>
      <c r="BC47" s="12"/>
      <c r="BD47" s="7"/>
      <c r="BE47" s="12"/>
      <c r="BF47" s="12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</row>
    <row r="48" spans="1:78" s="13" customFormat="1" ht="38.25">
      <c r="D48" s="13" t="s">
        <v>196</v>
      </c>
      <c r="E48" s="13" t="s">
        <v>194</v>
      </c>
      <c r="F48" s="13" t="s">
        <v>47</v>
      </c>
      <c r="G48" s="13" t="s">
        <v>29</v>
      </c>
      <c r="H48" s="13" t="s">
        <v>31</v>
      </c>
      <c r="I48" s="13" t="s">
        <v>231</v>
      </c>
      <c r="J48" s="13" t="s">
        <v>181</v>
      </c>
      <c r="K48" s="13" t="s">
        <v>182</v>
      </c>
      <c r="L48" s="13" t="s">
        <v>30</v>
      </c>
      <c r="AW48" s="21"/>
      <c r="AX48" s="21"/>
      <c r="AY48" s="21"/>
      <c r="AZ48" s="21"/>
      <c r="BB48" s="21"/>
      <c r="BC48" s="21"/>
      <c r="BE48" s="21"/>
      <c r="BF48" s="21"/>
    </row>
    <row r="49" spans="1:78" s="2" customFormat="1">
      <c r="A49" s="2" t="s">
        <v>121</v>
      </c>
      <c r="B49" s="2" t="s">
        <v>52</v>
      </c>
      <c r="C49" s="14"/>
      <c r="D49" s="100">
        <v>5</v>
      </c>
      <c r="E49" s="100">
        <v>-0.265152</v>
      </c>
      <c r="F49" s="100">
        <v>1.6923079999999999</v>
      </c>
      <c r="G49" s="100">
        <v>-1.487603</v>
      </c>
      <c r="H49" s="100">
        <v>-5</v>
      </c>
      <c r="I49" s="96">
        <v>1.1842109999999999</v>
      </c>
      <c r="J49" s="96">
        <v>1</v>
      </c>
      <c r="K49" s="96">
        <v>-0.65517199999999998</v>
      </c>
      <c r="L49" s="100">
        <v>4.913043</v>
      </c>
      <c r="R49" s="7"/>
      <c r="S49" s="7"/>
      <c r="T49" s="7"/>
      <c r="AC49" s="7"/>
      <c r="AD49" s="7"/>
      <c r="AE49" s="7"/>
      <c r="AF49" s="7"/>
      <c r="AG49" s="7"/>
      <c r="AH49" s="7"/>
      <c r="AK49" s="7"/>
      <c r="AL49" s="7"/>
      <c r="AM49" s="7"/>
      <c r="AN49" s="7"/>
      <c r="AO49" s="7"/>
      <c r="AP49" s="7"/>
      <c r="AQ49" s="7"/>
      <c r="AR49" s="7"/>
      <c r="AU49" s="7"/>
      <c r="AV49" s="7"/>
      <c r="AW49" s="12"/>
      <c r="AX49" s="12"/>
      <c r="AY49" s="12"/>
      <c r="AZ49" s="12"/>
      <c r="BA49" s="7"/>
      <c r="BB49" s="12"/>
      <c r="BC49" s="12"/>
      <c r="BD49" s="7"/>
      <c r="BE49" s="12"/>
      <c r="BF49" s="12"/>
      <c r="BG49" s="14"/>
      <c r="BH49" s="14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</row>
    <row r="50" spans="1:78" s="2" customFormat="1">
      <c r="A50" s="2" t="s">
        <v>123</v>
      </c>
      <c r="B50" s="2" t="s">
        <v>53</v>
      </c>
      <c r="C50" s="14"/>
      <c r="D50" s="100">
        <v>4.7303920000000002</v>
      </c>
      <c r="E50" s="100">
        <v>5</v>
      </c>
      <c r="F50" s="100">
        <v>1.1538459999999999</v>
      </c>
      <c r="G50" s="100">
        <v>-2.479339</v>
      </c>
      <c r="H50" s="100">
        <v>-1.744186</v>
      </c>
      <c r="I50" s="96">
        <v>0.263158</v>
      </c>
      <c r="J50" s="96">
        <v>-5.9524000000000001E-2</v>
      </c>
      <c r="K50" s="96">
        <v>2.6785709999999998</v>
      </c>
      <c r="L50" s="100">
        <v>-0.98191200000000001</v>
      </c>
      <c r="R50" s="7"/>
      <c r="S50" s="7"/>
      <c r="T50" s="7"/>
      <c r="AC50" s="7"/>
      <c r="AD50" s="7"/>
      <c r="AE50" s="7"/>
      <c r="AF50" s="7"/>
      <c r="AG50" s="7"/>
      <c r="AH50" s="7"/>
      <c r="AK50" s="7"/>
      <c r="AL50" s="7"/>
      <c r="AM50" s="7"/>
      <c r="AN50" s="7"/>
      <c r="AO50" s="7"/>
      <c r="AP50" s="7"/>
      <c r="AQ50" s="7"/>
      <c r="AR50" s="7"/>
      <c r="AU50" s="7"/>
      <c r="AV50" s="7"/>
      <c r="AW50" s="12"/>
      <c r="AX50" s="12"/>
      <c r="AY50" s="12"/>
      <c r="AZ50" s="12"/>
      <c r="BA50" s="7"/>
      <c r="BB50" s="12"/>
      <c r="BC50" s="12"/>
      <c r="BD50" s="7"/>
      <c r="BE50" s="12"/>
      <c r="BF50" s="12"/>
      <c r="BG50" s="14"/>
      <c r="BH50" s="14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</row>
    <row r="51" spans="1:78" s="2" customFormat="1">
      <c r="A51" s="2" t="s">
        <v>124</v>
      </c>
      <c r="B51" s="2" t="s">
        <v>50</v>
      </c>
      <c r="C51" s="11"/>
      <c r="D51" s="100">
        <v>4.5588240000000004</v>
      </c>
      <c r="E51" s="100">
        <v>1.2820510000000001</v>
      </c>
      <c r="F51" s="100">
        <v>-0.28112399999999999</v>
      </c>
      <c r="G51" s="100">
        <v>0.93674000000000002</v>
      </c>
      <c r="H51" s="100">
        <v>0.50561800000000001</v>
      </c>
      <c r="I51" s="96">
        <v>-1.8220339999999999</v>
      </c>
      <c r="J51" s="96">
        <v>-0.59523800000000004</v>
      </c>
      <c r="K51" s="96">
        <v>0.44642900000000002</v>
      </c>
      <c r="L51" s="100">
        <v>-0.72351399999999999</v>
      </c>
      <c r="R51" s="7"/>
      <c r="S51" s="7"/>
      <c r="T51" s="7"/>
      <c r="AC51" s="7"/>
      <c r="AD51" s="7"/>
      <c r="AE51" s="7"/>
      <c r="AF51" s="7"/>
      <c r="AG51" s="7"/>
      <c r="AH51" s="7"/>
      <c r="AK51" s="7"/>
      <c r="AL51" s="7"/>
      <c r="AM51" s="7"/>
      <c r="AN51" s="7"/>
      <c r="AO51" s="7"/>
      <c r="AP51" s="7"/>
      <c r="AQ51" s="7"/>
      <c r="AR51" s="7"/>
      <c r="AU51" s="7"/>
      <c r="AV51" s="7"/>
      <c r="AW51" s="12"/>
      <c r="AX51" s="12"/>
      <c r="AY51" s="12"/>
      <c r="AZ51" s="12"/>
      <c r="BA51" s="7"/>
      <c r="BB51" s="12"/>
      <c r="BC51" s="12"/>
      <c r="BD51" s="7"/>
      <c r="BE51" s="12"/>
      <c r="BF51" s="12"/>
      <c r="BG51" s="14"/>
      <c r="BH51" s="14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</row>
    <row r="52" spans="1:78" s="2" customFormat="1">
      <c r="A52" s="2" t="s">
        <v>125</v>
      </c>
      <c r="B52" s="2" t="s">
        <v>51</v>
      </c>
      <c r="C52" s="14"/>
      <c r="D52" s="100">
        <v>4.0196079999999998</v>
      </c>
      <c r="E52" s="100">
        <v>2.3076919999999999</v>
      </c>
      <c r="F52" s="100">
        <v>1.538462</v>
      </c>
      <c r="G52" s="100">
        <v>0.59610700000000005</v>
      </c>
      <c r="H52" s="100">
        <v>-2.0930230000000001</v>
      </c>
      <c r="I52" s="96">
        <v>1.1842109999999999</v>
      </c>
      <c r="J52" s="96">
        <v>1.4</v>
      </c>
      <c r="K52" s="96">
        <v>-1.0459769999999999</v>
      </c>
      <c r="L52" s="100">
        <v>-5.1679999999999997E-2</v>
      </c>
      <c r="R52" s="7"/>
      <c r="S52" s="7"/>
      <c r="T52" s="7"/>
      <c r="AC52" s="7"/>
      <c r="AD52" s="7"/>
      <c r="AE52" s="7"/>
      <c r="AF52" s="7"/>
      <c r="AG52" s="7"/>
      <c r="AH52" s="7"/>
      <c r="AK52" s="7"/>
      <c r="AL52" s="7"/>
      <c r="AM52" s="7"/>
      <c r="AN52" s="7"/>
      <c r="AO52" s="7"/>
      <c r="AP52" s="7"/>
      <c r="AQ52" s="7"/>
      <c r="AR52" s="7"/>
      <c r="AU52" s="7"/>
      <c r="AV52" s="7"/>
      <c r="AW52" s="12"/>
      <c r="AX52" s="12"/>
      <c r="AY52" s="12"/>
      <c r="AZ52" s="12"/>
      <c r="BA52" s="7"/>
      <c r="BB52" s="12"/>
      <c r="BC52" s="12"/>
      <c r="BD52" s="7"/>
      <c r="BE52" s="12"/>
      <c r="BF52" s="12"/>
      <c r="BG52" s="14"/>
      <c r="BH52" s="14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</row>
    <row r="53" spans="1:78" s="2" customFormat="1">
      <c r="A53" s="2" t="s">
        <v>126</v>
      </c>
      <c r="B53" s="2" t="s">
        <v>54</v>
      </c>
      <c r="C53" s="14"/>
      <c r="D53" s="100">
        <v>-0.57877800000000001</v>
      </c>
      <c r="E53" s="100">
        <v>-1.4393940000000001</v>
      </c>
      <c r="F53" s="100">
        <v>-4.0161000000000002E-2</v>
      </c>
      <c r="G53" s="100">
        <v>0.30413600000000002</v>
      </c>
      <c r="H53" s="100">
        <v>-2.5581399999999999</v>
      </c>
      <c r="I53" s="96">
        <v>5</v>
      </c>
      <c r="J53" s="96">
        <v>-0.47619</v>
      </c>
      <c r="K53" s="96">
        <v>0.17857100000000001</v>
      </c>
      <c r="L53" s="100">
        <v>-1.8733850000000001</v>
      </c>
      <c r="R53" s="7"/>
      <c r="S53" s="7"/>
      <c r="T53" s="7"/>
      <c r="AC53" s="7"/>
      <c r="AD53" s="7"/>
      <c r="AE53" s="7"/>
      <c r="AF53" s="7"/>
      <c r="AG53" s="7"/>
      <c r="AH53" s="7"/>
      <c r="AK53" s="7"/>
      <c r="AL53" s="7"/>
      <c r="AM53" s="7"/>
      <c r="AN53" s="7"/>
      <c r="AO53" s="7"/>
      <c r="AP53" s="7"/>
      <c r="AQ53" s="7"/>
      <c r="AR53" s="7"/>
      <c r="AU53" s="7"/>
      <c r="AV53" s="7"/>
      <c r="AW53" s="12"/>
      <c r="AX53" s="12"/>
      <c r="AY53" s="12"/>
      <c r="AZ53" s="12"/>
      <c r="BA53" s="7"/>
      <c r="BB53" s="12"/>
      <c r="BC53" s="12"/>
      <c r="BD53" s="7"/>
      <c r="BE53" s="12"/>
      <c r="BF53" s="12"/>
      <c r="BG53" s="14"/>
      <c r="BH53" s="14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</row>
    <row r="54" spans="1:78" s="2" customFormat="1">
      <c r="A54" s="2" t="s">
        <v>127</v>
      </c>
      <c r="B54" s="2" t="s">
        <v>55</v>
      </c>
      <c r="C54" s="14"/>
      <c r="D54" s="100">
        <v>-5</v>
      </c>
      <c r="E54" s="100">
        <v>-2.9166669999999999</v>
      </c>
      <c r="F54" s="100">
        <v>-2.128514</v>
      </c>
      <c r="G54" s="100">
        <v>5</v>
      </c>
      <c r="H54" s="100">
        <v>5</v>
      </c>
      <c r="I54" s="96">
        <v>-4.5338979999999998</v>
      </c>
      <c r="J54" s="96">
        <v>5</v>
      </c>
      <c r="K54" s="96">
        <v>-5</v>
      </c>
      <c r="L54" s="100">
        <v>-5</v>
      </c>
      <c r="R54" s="7"/>
      <c r="S54" s="7"/>
      <c r="T54" s="7"/>
      <c r="AC54" s="7"/>
      <c r="AD54" s="7"/>
      <c r="AE54" s="7"/>
      <c r="AF54" s="7"/>
      <c r="AG54" s="7"/>
      <c r="AH54" s="7"/>
      <c r="AK54" s="7"/>
      <c r="AL54" s="7"/>
      <c r="AM54" s="7"/>
      <c r="AN54" s="7"/>
      <c r="AO54" s="7"/>
      <c r="AP54" s="7"/>
      <c r="AQ54" s="7"/>
      <c r="AR54" s="7"/>
      <c r="AU54" s="7"/>
      <c r="AV54" s="7"/>
      <c r="AW54" s="12"/>
      <c r="AX54" s="12"/>
      <c r="AY54" s="12"/>
      <c r="AZ54" s="12"/>
      <c r="BA54" s="7"/>
      <c r="BB54" s="12"/>
      <c r="BC54" s="12"/>
      <c r="BD54" s="7"/>
      <c r="BE54" s="12"/>
      <c r="BF54" s="12"/>
      <c r="BG54" s="14"/>
      <c r="BH54" s="14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</row>
    <row r="55" spans="1:78" s="2" customFormat="1">
      <c r="A55" s="2" t="s">
        <v>128</v>
      </c>
      <c r="B55" s="2" t="s">
        <v>56</v>
      </c>
      <c r="C55" s="14"/>
      <c r="D55" s="100">
        <v>-0.57877800000000001</v>
      </c>
      <c r="E55" s="100">
        <v>-3.7879000000000003E-2</v>
      </c>
      <c r="F55" s="100">
        <v>3.461538</v>
      </c>
      <c r="G55" s="100">
        <v>2.7615569999999998</v>
      </c>
      <c r="H55" s="100">
        <v>1.7977529999999999</v>
      </c>
      <c r="I55" s="96">
        <v>0.46052599999999999</v>
      </c>
      <c r="J55" s="96">
        <v>5</v>
      </c>
      <c r="K55" s="96">
        <v>-2.862069</v>
      </c>
      <c r="L55" s="100">
        <v>4.6086960000000001</v>
      </c>
      <c r="R55" s="7"/>
      <c r="S55" s="7"/>
      <c r="T55" s="7"/>
      <c r="AC55" s="7"/>
      <c r="AD55" s="7"/>
      <c r="AE55" s="7"/>
      <c r="AF55" s="7"/>
      <c r="AG55" s="7"/>
      <c r="AH55" s="7"/>
      <c r="AK55" s="7"/>
      <c r="AL55" s="7"/>
      <c r="AM55" s="7"/>
      <c r="AN55" s="7"/>
      <c r="AO55" s="7"/>
      <c r="AP55" s="7"/>
      <c r="AQ55" s="7"/>
      <c r="AR55" s="7"/>
      <c r="AU55" s="7"/>
      <c r="AV55" s="7"/>
      <c r="AW55" s="12"/>
      <c r="AX55" s="12"/>
      <c r="AY55" s="12"/>
      <c r="AZ55" s="12"/>
      <c r="BA55" s="7"/>
      <c r="BB55" s="12"/>
      <c r="BC55" s="12"/>
      <c r="BD55" s="7"/>
      <c r="BE55" s="12"/>
      <c r="BF55" s="12"/>
      <c r="BG55" s="14"/>
      <c r="BH55" s="14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</row>
    <row r="56" spans="1:78" s="2" customFormat="1">
      <c r="A56" s="2" t="s">
        <v>129</v>
      </c>
      <c r="B56" s="2" t="s">
        <v>57</v>
      </c>
      <c r="C56" s="14"/>
      <c r="D56" s="100">
        <v>4.3137249999999998</v>
      </c>
      <c r="E56" s="100">
        <v>-1.6287879999999999</v>
      </c>
      <c r="F56" s="100">
        <v>2.6153849999999998</v>
      </c>
      <c r="G56" s="100">
        <v>0.87591200000000002</v>
      </c>
      <c r="H56" s="100">
        <v>0.449438</v>
      </c>
      <c r="I56" s="96">
        <v>1.3157890000000001</v>
      </c>
      <c r="J56" s="96">
        <v>5</v>
      </c>
      <c r="K56" s="96">
        <v>-2.4942530000000001</v>
      </c>
      <c r="L56" s="100">
        <v>5</v>
      </c>
      <c r="R56" s="7"/>
      <c r="S56" s="7"/>
      <c r="T56" s="7"/>
      <c r="AC56" s="7"/>
      <c r="AD56" s="7"/>
      <c r="AE56" s="7"/>
      <c r="AF56" s="7"/>
      <c r="AG56" s="7"/>
      <c r="AH56" s="7"/>
      <c r="AK56" s="7"/>
      <c r="AL56" s="7"/>
      <c r="AM56" s="7"/>
      <c r="AN56" s="7"/>
      <c r="AO56" s="7"/>
      <c r="AP56" s="7"/>
      <c r="AQ56" s="7"/>
      <c r="AR56" s="7"/>
      <c r="AU56" s="7"/>
      <c r="AV56" s="7"/>
      <c r="AW56" s="12"/>
      <c r="AX56" s="12"/>
      <c r="AY56" s="12"/>
      <c r="AZ56" s="12"/>
      <c r="BA56" s="7"/>
      <c r="BB56" s="12"/>
      <c r="BC56" s="12"/>
      <c r="BD56" s="7"/>
      <c r="BE56" s="12"/>
      <c r="BF56" s="12"/>
      <c r="BG56" s="14"/>
      <c r="BH56" s="14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</row>
    <row r="57" spans="1:78" s="2" customFormat="1">
      <c r="A57" s="2" t="s">
        <v>131</v>
      </c>
      <c r="B57" s="2" t="s">
        <v>59</v>
      </c>
      <c r="C57" s="14"/>
      <c r="D57" s="100">
        <v>4.4362750000000002</v>
      </c>
      <c r="E57" s="100">
        <v>-0.37878800000000001</v>
      </c>
      <c r="F57" s="100">
        <v>1</v>
      </c>
      <c r="G57" s="100">
        <v>0.352798</v>
      </c>
      <c r="H57" s="100">
        <v>2.1348310000000001</v>
      </c>
      <c r="I57" s="96">
        <v>-5</v>
      </c>
      <c r="J57" s="96">
        <v>0.6</v>
      </c>
      <c r="K57" s="96">
        <v>4.0625</v>
      </c>
      <c r="L57" s="100">
        <v>-3.6304910000000001</v>
      </c>
      <c r="R57" s="7"/>
      <c r="S57" s="7"/>
      <c r="T57" s="7"/>
      <c r="AC57" s="7"/>
      <c r="AD57" s="7"/>
      <c r="AE57" s="7"/>
      <c r="AF57" s="7"/>
      <c r="AG57" s="7"/>
      <c r="AH57" s="7"/>
      <c r="AK57" s="7"/>
      <c r="AL57" s="7"/>
      <c r="AM57" s="7"/>
      <c r="AN57" s="7"/>
      <c r="AO57" s="7"/>
      <c r="AP57" s="7"/>
      <c r="AQ57" s="7"/>
      <c r="AR57" s="7"/>
      <c r="AU57" s="7"/>
      <c r="AV57" s="7"/>
      <c r="AW57" s="12"/>
      <c r="AX57" s="12"/>
      <c r="AY57" s="12"/>
      <c r="AZ57" s="12"/>
      <c r="BA57" s="7"/>
      <c r="BB57" s="12"/>
      <c r="BC57" s="12"/>
      <c r="BD57" s="7"/>
      <c r="BE57" s="12"/>
      <c r="BF57" s="12"/>
      <c r="BG57" s="14"/>
      <c r="BH57" s="14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</row>
    <row r="58" spans="1:78" s="2" customFormat="1">
      <c r="A58" s="2" t="s">
        <v>132</v>
      </c>
      <c r="B58" s="2" t="s">
        <v>60</v>
      </c>
      <c r="C58" s="14"/>
      <c r="D58" s="100">
        <v>-1.6881029999999999</v>
      </c>
      <c r="E58" s="100">
        <v>-3.8636360000000001</v>
      </c>
      <c r="F58" s="100">
        <v>5</v>
      </c>
      <c r="G58" s="100">
        <v>0.26763999999999999</v>
      </c>
      <c r="H58" s="100">
        <v>3.2022469999999998</v>
      </c>
      <c r="I58" s="96">
        <v>2.5657890000000001</v>
      </c>
      <c r="J58" s="96">
        <v>5</v>
      </c>
      <c r="K58" s="96">
        <v>5</v>
      </c>
      <c r="L58" s="100">
        <v>2.1739130000000002</v>
      </c>
      <c r="R58" s="7"/>
      <c r="S58" s="7"/>
      <c r="T58" s="7"/>
      <c r="AC58" s="7"/>
      <c r="AD58" s="7"/>
      <c r="AE58" s="7"/>
      <c r="AF58" s="7"/>
      <c r="AG58" s="7"/>
      <c r="AH58" s="7"/>
      <c r="AK58" s="7"/>
      <c r="AL58" s="7"/>
      <c r="AM58" s="7"/>
      <c r="AN58" s="7"/>
      <c r="AO58" s="7"/>
      <c r="AP58" s="7"/>
      <c r="AQ58" s="7"/>
      <c r="AR58" s="7"/>
      <c r="AU58" s="7"/>
      <c r="AV58" s="7"/>
      <c r="AW58" s="12"/>
      <c r="AX58" s="12"/>
      <c r="AY58" s="12"/>
      <c r="AZ58" s="12"/>
      <c r="BA58" s="7"/>
      <c r="BB58" s="12"/>
      <c r="BC58" s="12"/>
      <c r="BD58" s="7"/>
      <c r="BE58" s="12"/>
      <c r="BF58" s="12"/>
      <c r="BG58" s="14"/>
      <c r="BH58" s="14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</row>
    <row r="59" spans="1:78" s="2" customFormat="1">
      <c r="A59" s="2" t="s">
        <v>120</v>
      </c>
      <c r="B59" s="2" t="s">
        <v>32</v>
      </c>
      <c r="C59" s="14"/>
      <c r="D59" s="100">
        <v>5</v>
      </c>
      <c r="E59" s="100">
        <v>4.2948719999999998</v>
      </c>
      <c r="F59" s="100">
        <v>0.461538</v>
      </c>
      <c r="G59" s="100">
        <v>-2.479339</v>
      </c>
      <c r="H59" s="100">
        <v>-1.744186</v>
      </c>
      <c r="I59" s="96">
        <v>0.92105300000000001</v>
      </c>
      <c r="J59" s="96">
        <v>0.8</v>
      </c>
      <c r="K59" s="96">
        <v>1.964286</v>
      </c>
      <c r="L59" s="100">
        <v>2.302632</v>
      </c>
      <c r="R59" s="7"/>
      <c r="S59" s="7"/>
      <c r="T59" s="7"/>
      <c r="AC59" s="7"/>
      <c r="AD59" s="7"/>
      <c r="AE59" s="7"/>
      <c r="AF59" s="7"/>
      <c r="AG59" s="7"/>
      <c r="AH59" s="7"/>
      <c r="AK59" s="7"/>
      <c r="AL59" s="7"/>
      <c r="AM59" s="7"/>
      <c r="AN59" s="7"/>
      <c r="AO59" s="7"/>
      <c r="AP59" s="7"/>
      <c r="AQ59" s="7"/>
      <c r="AR59" s="7"/>
      <c r="AU59" s="7"/>
      <c r="AV59" s="7"/>
      <c r="AW59" s="12"/>
      <c r="AX59" s="12"/>
      <c r="AY59" s="12"/>
      <c r="AZ59" s="12"/>
      <c r="BA59" s="7"/>
      <c r="BB59" s="12"/>
      <c r="BC59" s="12"/>
      <c r="BD59" s="7"/>
      <c r="BE59" s="12"/>
      <c r="BF59" s="12"/>
      <c r="BG59" s="14"/>
      <c r="BH59" s="14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</row>
    <row r="60" spans="1:78" s="2" customFormat="1">
      <c r="A60" s="2" t="s">
        <v>130</v>
      </c>
      <c r="B60" s="2" t="s">
        <v>58</v>
      </c>
      <c r="C60" s="14"/>
      <c r="D60" s="100">
        <v>4.5588240000000004</v>
      </c>
      <c r="E60" s="100">
        <v>3.2051280000000002</v>
      </c>
      <c r="F60" s="100">
        <v>-2.0481929999999999</v>
      </c>
      <c r="G60" s="100">
        <v>-5</v>
      </c>
      <c r="H60" s="100">
        <v>-5</v>
      </c>
      <c r="I60" s="96">
        <v>-3.5593219999999999</v>
      </c>
      <c r="J60" s="96">
        <v>-2.3214290000000002</v>
      </c>
      <c r="K60" s="96">
        <v>4.375</v>
      </c>
      <c r="L60" s="100">
        <v>-3.5919539999999999</v>
      </c>
      <c r="R60" s="7"/>
      <c r="S60" s="7"/>
      <c r="T60" s="7"/>
      <c r="AC60" s="7"/>
      <c r="AD60" s="7"/>
      <c r="AE60" s="7"/>
      <c r="AF60" s="7"/>
      <c r="AG60" s="7"/>
      <c r="AH60" s="7"/>
      <c r="AK60" s="7"/>
      <c r="AL60" s="7"/>
      <c r="AM60" s="7"/>
      <c r="AN60" s="7"/>
      <c r="AO60" s="7"/>
      <c r="AP60" s="7"/>
      <c r="AQ60" s="7"/>
      <c r="AR60" s="7"/>
      <c r="AU60" s="7"/>
      <c r="AV60" s="7"/>
      <c r="AW60" s="12"/>
      <c r="AX60" s="12"/>
      <c r="AY60" s="12"/>
      <c r="AZ60" s="12"/>
      <c r="BA60" s="7"/>
      <c r="BB60" s="12"/>
      <c r="BC60" s="12"/>
      <c r="BD60" s="7"/>
      <c r="BE60" s="12"/>
      <c r="BF60" s="12"/>
      <c r="BG60" s="14"/>
      <c r="BH60" s="14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</row>
    <row r="61" spans="1:78" s="2" customFormat="1">
      <c r="A61" s="2" t="s">
        <v>133</v>
      </c>
      <c r="B61" s="2" t="s">
        <v>61</v>
      </c>
      <c r="C61" s="14"/>
      <c r="D61" s="100">
        <v>-2.8697750000000002</v>
      </c>
      <c r="E61" s="100">
        <v>-4.0151519999999996</v>
      </c>
      <c r="F61" s="100">
        <v>-3.072289</v>
      </c>
      <c r="G61" s="100">
        <v>1.0827249999999999</v>
      </c>
      <c r="H61" s="100">
        <v>1.8539330000000001</v>
      </c>
      <c r="I61" s="96">
        <v>0.855263</v>
      </c>
      <c r="J61" s="96">
        <v>-5</v>
      </c>
      <c r="K61" s="96">
        <v>3.839286</v>
      </c>
      <c r="L61" s="100">
        <v>-5</v>
      </c>
      <c r="R61" s="7"/>
      <c r="S61" s="7"/>
      <c r="T61" s="7"/>
      <c r="AC61" s="7"/>
      <c r="AD61" s="7"/>
      <c r="AE61" s="7"/>
      <c r="AF61" s="7"/>
      <c r="AG61" s="7"/>
      <c r="AH61" s="7"/>
      <c r="AK61" s="7"/>
      <c r="AL61" s="7"/>
      <c r="AM61" s="7"/>
      <c r="AN61" s="7"/>
      <c r="AO61" s="7"/>
      <c r="AP61" s="7"/>
      <c r="AQ61" s="7"/>
      <c r="AR61" s="7"/>
      <c r="AU61" s="7"/>
      <c r="AV61" s="7"/>
      <c r="AW61" s="12"/>
      <c r="AX61" s="12"/>
      <c r="AY61" s="12"/>
      <c r="AZ61" s="12"/>
      <c r="BA61" s="7"/>
      <c r="BB61" s="12"/>
      <c r="BC61" s="12"/>
      <c r="BD61" s="7"/>
      <c r="BE61" s="12"/>
      <c r="BF61" s="12"/>
      <c r="BG61" s="14"/>
      <c r="BH61" s="14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</row>
    <row r="62" spans="1:78" s="2" customFormat="1">
      <c r="A62" s="2" t="s">
        <v>138</v>
      </c>
      <c r="B62" s="2" t="s">
        <v>67</v>
      </c>
      <c r="C62" s="14"/>
      <c r="D62" s="100">
        <v>-0.474277</v>
      </c>
      <c r="E62" s="100">
        <v>-0.94696999999999998</v>
      </c>
      <c r="F62" s="100">
        <v>1.8461540000000001</v>
      </c>
      <c r="G62" s="100">
        <v>-4.1321999999999998E-2</v>
      </c>
      <c r="H62" s="100">
        <v>4.0449440000000001</v>
      </c>
      <c r="I62" s="96">
        <v>4.9342110000000003</v>
      </c>
      <c r="J62" s="96">
        <v>5</v>
      </c>
      <c r="K62" s="96">
        <v>2.901786</v>
      </c>
      <c r="L62" s="100">
        <v>-0.25862099999999999</v>
      </c>
      <c r="R62" s="7"/>
      <c r="S62" s="7"/>
      <c r="T62" s="7"/>
      <c r="AC62" s="7"/>
      <c r="AD62" s="7"/>
      <c r="AE62" s="7"/>
      <c r="AF62" s="7"/>
      <c r="AG62" s="7"/>
      <c r="AH62" s="7"/>
      <c r="AK62" s="7"/>
      <c r="AL62" s="7"/>
      <c r="AM62" s="7"/>
      <c r="AN62" s="7"/>
      <c r="AO62" s="7"/>
      <c r="AP62" s="7"/>
      <c r="AQ62" s="7"/>
      <c r="AR62" s="7"/>
      <c r="AU62" s="7"/>
      <c r="AV62" s="7"/>
      <c r="AW62" s="12"/>
      <c r="AX62" s="12"/>
      <c r="AY62" s="12"/>
      <c r="AZ62" s="12"/>
      <c r="BA62" s="7"/>
      <c r="BB62" s="12"/>
      <c r="BC62" s="12"/>
      <c r="BD62" s="7"/>
      <c r="BE62" s="12"/>
      <c r="BF62" s="12"/>
      <c r="BG62" s="14"/>
      <c r="BH62" s="14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</row>
    <row r="63" spans="1:78" s="2" customFormat="1">
      <c r="A63" s="2" t="s">
        <v>137</v>
      </c>
      <c r="B63" s="2" t="s">
        <v>68</v>
      </c>
      <c r="C63" s="14"/>
      <c r="D63" s="100">
        <v>4.4607840000000003</v>
      </c>
      <c r="E63" s="100">
        <v>2.3076919999999999</v>
      </c>
      <c r="F63" s="100">
        <v>-0.28112399999999999</v>
      </c>
      <c r="G63" s="100">
        <v>-3.0578509999999999</v>
      </c>
      <c r="H63" s="100">
        <v>-2.5581399999999999</v>
      </c>
      <c r="I63" s="96">
        <v>-1.9491529999999999</v>
      </c>
      <c r="J63" s="96">
        <v>-0.119048</v>
      </c>
      <c r="K63" s="96">
        <v>4.6428570000000002</v>
      </c>
      <c r="L63" s="100">
        <v>1.052632</v>
      </c>
      <c r="R63" s="7"/>
      <c r="S63" s="7"/>
      <c r="T63" s="7"/>
      <c r="AC63" s="7"/>
      <c r="AD63" s="7"/>
      <c r="AE63" s="7"/>
      <c r="AF63" s="7"/>
      <c r="AG63" s="7"/>
      <c r="AH63" s="7"/>
      <c r="AK63" s="7"/>
      <c r="AL63" s="7"/>
      <c r="AM63" s="7"/>
      <c r="AN63" s="7"/>
      <c r="AO63" s="7"/>
      <c r="AP63" s="7"/>
      <c r="AQ63" s="7"/>
      <c r="AR63" s="7"/>
      <c r="AU63" s="7"/>
      <c r="AV63" s="7"/>
      <c r="AW63" s="12"/>
      <c r="AX63" s="12"/>
      <c r="AY63" s="12"/>
      <c r="AZ63" s="12"/>
      <c r="BA63" s="7"/>
      <c r="BB63" s="12"/>
      <c r="BC63" s="12"/>
      <c r="BD63" s="7"/>
      <c r="BE63" s="12"/>
      <c r="BF63" s="12"/>
      <c r="BG63" s="14"/>
      <c r="BH63" s="14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</row>
    <row r="64" spans="1:78">
      <c r="AW64" s="12"/>
      <c r="AX64" s="12"/>
      <c r="AY64" s="12"/>
      <c r="AZ64" s="12"/>
      <c r="BB64" s="12"/>
      <c r="BC64" s="12"/>
      <c r="BE64" s="12"/>
      <c r="BF64" s="12"/>
    </row>
    <row r="65" spans="49:58">
      <c r="AW65" s="12"/>
      <c r="AX65" s="12"/>
      <c r="AY65" s="12"/>
      <c r="AZ65" s="12"/>
      <c r="BB65" s="12"/>
      <c r="BC65" s="12"/>
      <c r="BE65" s="12"/>
      <c r="BF65" s="12"/>
    </row>
    <row r="66" spans="49:58">
      <c r="AW66" s="12"/>
      <c r="AX66" s="12"/>
      <c r="AY66" s="12"/>
      <c r="AZ66" s="12"/>
      <c r="BB66" s="12"/>
      <c r="BC66" s="12"/>
      <c r="BE66" s="12"/>
      <c r="BF66" s="12"/>
    </row>
    <row r="67" spans="49:58">
      <c r="AW67" s="12"/>
      <c r="AX67" s="12"/>
      <c r="AY67" s="12"/>
      <c r="AZ67" s="12"/>
      <c r="BB67" s="12"/>
      <c r="BC67" s="12"/>
      <c r="BE67" s="12"/>
      <c r="BF67" s="12"/>
    </row>
    <row r="68" spans="49:58">
      <c r="AW68" s="12"/>
      <c r="AX68" s="12"/>
      <c r="AY68" s="12"/>
      <c r="AZ68" s="12"/>
      <c r="BB68" s="12"/>
      <c r="BC68" s="12"/>
      <c r="BE68" s="12"/>
      <c r="BF68" s="12"/>
    </row>
    <row r="69" spans="49:58">
      <c r="AW69" s="12"/>
      <c r="AX69" s="12"/>
      <c r="AY69" s="12"/>
      <c r="AZ69" s="12"/>
      <c r="BB69" s="12"/>
      <c r="BC69" s="12"/>
      <c r="BE69" s="12"/>
      <c r="BF69" s="12"/>
    </row>
    <row r="70" spans="49:58">
      <c r="AW70" s="12"/>
      <c r="AX70" s="12"/>
      <c r="AY70" s="12"/>
      <c r="AZ70" s="12"/>
      <c r="BB70" s="12"/>
      <c r="BC70" s="12"/>
      <c r="BE70" s="12"/>
      <c r="BF70" s="12"/>
    </row>
    <row r="71" spans="49:58">
      <c r="AW71" s="12"/>
      <c r="AX71" s="12"/>
      <c r="AY71" s="12"/>
      <c r="AZ71" s="12"/>
      <c r="BB71" s="12"/>
      <c r="BC71" s="12"/>
      <c r="BE71" s="12"/>
      <c r="BF71" s="12"/>
    </row>
    <row r="72" spans="49:58">
      <c r="AW72" s="12"/>
      <c r="AX72" s="12"/>
      <c r="AY72" s="12"/>
      <c r="AZ72" s="12"/>
      <c r="BB72" s="12"/>
      <c r="BC72" s="12"/>
      <c r="BE72" s="12"/>
      <c r="BF72" s="12"/>
    </row>
    <row r="73" spans="49:58">
      <c r="AW73" s="12"/>
      <c r="AX73" s="12"/>
      <c r="AY73" s="12"/>
      <c r="AZ73" s="12"/>
      <c r="BB73" s="12"/>
      <c r="BC73" s="12"/>
      <c r="BE73" s="12"/>
      <c r="BF73" s="12"/>
    </row>
    <row r="74" spans="49:58">
      <c r="AW74" s="12"/>
      <c r="AX74" s="12"/>
      <c r="AY74" s="12"/>
      <c r="AZ74" s="12"/>
      <c r="BB74" s="12"/>
      <c r="BC74" s="12"/>
      <c r="BE74" s="12"/>
      <c r="BF74" s="12"/>
    </row>
    <row r="75" spans="49:58">
      <c r="AW75" s="12"/>
      <c r="AX75" s="12"/>
      <c r="AY75" s="12"/>
      <c r="AZ75" s="12"/>
      <c r="BB75" s="12"/>
      <c r="BC75" s="12"/>
      <c r="BE75" s="12"/>
      <c r="BF75" s="12"/>
    </row>
    <row r="76" spans="49:58">
      <c r="AW76" s="12"/>
      <c r="AX76" s="12"/>
      <c r="AY76" s="12"/>
      <c r="AZ76" s="12"/>
      <c r="BB76" s="12"/>
      <c r="BC76" s="12"/>
      <c r="BE76" s="12"/>
      <c r="BF76" s="12"/>
    </row>
    <row r="77" spans="49:58">
      <c r="AW77" s="12"/>
      <c r="AX77" s="12"/>
      <c r="AY77" s="12"/>
      <c r="AZ77" s="12"/>
      <c r="BB77" s="12"/>
      <c r="BC77" s="12"/>
      <c r="BE77" s="12"/>
      <c r="BF77" s="12"/>
    </row>
    <row r="78" spans="49:58">
      <c r="AW78" s="12"/>
      <c r="AX78" s="12"/>
      <c r="AY78" s="12"/>
      <c r="AZ78" s="12"/>
      <c r="BB78" s="12"/>
      <c r="BC78" s="12"/>
      <c r="BE78" s="12"/>
      <c r="BF78" s="12"/>
    </row>
    <row r="79" spans="49:58">
      <c r="AW79" s="12"/>
      <c r="AX79" s="12"/>
      <c r="AY79" s="12"/>
      <c r="AZ79" s="12"/>
      <c r="BB79" s="12"/>
      <c r="BC79" s="12"/>
      <c r="BE79" s="12"/>
      <c r="BF79" s="12"/>
    </row>
    <row r="80" spans="49:58">
      <c r="AW80" s="12"/>
      <c r="AX80" s="12"/>
      <c r="AY80" s="12"/>
      <c r="AZ80" s="12"/>
      <c r="BB80" s="12"/>
      <c r="BC80" s="12"/>
      <c r="BE80" s="12"/>
      <c r="BF80" s="12"/>
    </row>
    <row r="81" spans="49:58">
      <c r="AW81" s="12"/>
      <c r="AX81" s="12"/>
      <c r="AY81" s="12"/>
      <c r="AZ81" s="12"/>
      <c r="BB81" s="12"/>
      <c r="BC81" s="12"/>
      <c r="BE81" s="12"/>
      <c r="BF81" s="12"/>
    </row>
    <row r="82" spans="49:58">
      <c r="AW82" s="12"/>
      <c r="AX82" s="12"/>
      <c r="AY82" s="12"/>
      <c r="AZ82" s="12"/>
      <c r="BB82" s="12"/>
      <c r="BC82" s="12"/>
      <c r="BE82" s="12"/>
      <c r="BF82" s="12"/>
    </row>
    <row r="83" spans="49:58">
      <c r="AW83" s="12"/>
      <c r="AX83" s="12"/>
      <c r="AY83" s="12"/>
      <c r="AZ83" s="12"/>
      <c r="BB83" s="12"/>
      <c r="BC83" s="12"/>
      <c r="BE83" s="12"/>
      <c r="BF83" s="12"/>
    </row>
    <row r="84" spans="49:58">
      <c r="AW84" s="12"/>
      <c r="AX84" s="12"/>
      <c r="AY84" s="12"/>
      <c r="AZ84" s="12"/>
      <c r="BB84" s="12"/>
      <c r="BC84" s="12"/>
      <c r="BE84" s="12"/>
      <c r="BF84" s="12"/>
    </row>
    <row r="85" spans="49:58">
      <c r="AW85" s="12"/>
      <c r="AX85" s="12"/>
      <c r="AY85" s="12"/>
      <c r="AZ85" s="12"/>
      <c r="BB85" s="12"/>
      <c r="BC85" s="12"/>
      <c r="BE85" s="12"/>
      <c r="BF85" s="12"/>
    </row>
    <row r="86" spans="49:58">
      <c r="AW86" s="12"/>
      <c r="AX86" s="12"/>
      <c r="AY86" s="12"/>
      <c r="AZ86" s="12"/>
      <c r="BB86" s="12"/>
      <c r="BC86" s="12"/>
      <c r="BE86" s="12"/>
      <c r="BF86" s="12"/>
    </row>
    <row r="87" spans="49:58">
      <c r="AW87" s="12"/>
      <c r="AX87" s="12"/>
      <c r="AY87" s="12"/>
      <c r="AZ87" s="12"/>
      <c r="BB87" s="12"/>
      <c r="BC87" s="12"/>
      <c r="BE87" s="12"/>
      <c r="BF87" s="12"/>
    </row>
    <row r="88" spans="49:58">
      <c r="AW88" s="12"/>
      <c r="AX88" s="12"/>
      <c r="AY88" s="12"/>
      <c r="AZ88" s="12"/>
      <c r="BB88" s="12"/>
      <c r="BC88" s="12"/>
      <c r="BE88" s="12"/>
      <c r="BF88" s="12"/>
    </row>
    <row r="89" spans="49:58">
      <c r="AW89" s="12"/>
      <c r="AX89" s="12"/>
      <c r="AY89" s="12"/>
      <c r="AZ89" s="12"/>
      <c r="BB89" s="12"/>
      <c r="BC89" s="12"/>
      <c r="BE89" s="12"/>
      <c r="BF89" s="12"/>
    </row>
    <row r="90" spans="49:58">
      <c r="AW90" s="12"/>
      <c r="AX90" s="12"/>
      <c r="AY90" s="12"/>
      <c r="AZ90" s="12"/>
      <c r="BB90" s="12"/>
      <c r="BC90" s="12"/>
      <c r="BE90" s="12"/>
      <c r="BF90" s="12"/>
    </row>
    <row r="91" spans="49:58">
      <c r="AW91" s="12"/>
      <c r="AX91" s="12"/>
      <c r="AY91" s="12"/>
      <c r="AZ91" s="12"/>
      <c r="BB91" s="12"/>
      <c r="BC91" s="12"/>
      <c r="BE91" s="12"/>
      <c r="BF91" s="12"/>
    </row>
    <row r="92" spans="49:58">
      <c r="AW92" s="12"/>
      <c r="AX92" s="12"/>
      <c r="AY92" s="12"/>
      <c r="AZ92" s="12"/>
      <c r="BB92" s="12"/>
      <c r="BC92" s="12"/>
      <c r="BE92" s="12"/>
      <c r="BF92" s="12"/>
    </row>
    <row r="93" spans="49:58">
      <c r="AW93" s="12"/>
      <c r="AX93" s="12"/>
      <c r="AY93" s="12"/>
      <c r="AZ93" s="12"/>
      <c r="BB93" s="12"/>
      <c r="BC93" s="12"/>
      <c r="BE93" s="12"/>
      <c r="BF93" s="12"/>
    </row>
    <row r="94" spans="49:58">
      <c r="AW94" s="12"/>
      <c r="AX94" s="12"/>
      <c r="AY94" s="12"/>
      <c r="AZ94" s="12"/>
      <c r="BB94" s="12"/>
      <c r="BC94" s="12"/>
      <c r="BE94" s="12"/>
      <c r="BF94" s="12"/>
    </row>
    <row r="95" spans="49:58">
      <c r="AW95" s="12"/>
      <c r="AX95" s="12"/>
      <c r="AY95" s="12"/>
      <c r="AZ95" s="12"/>
      <c r="BB95" s="12"/>
      <c r="BC95" s="12"/>
      <c r="BE95" s="12"/>
      <c r="BF95" s="12"/>
    </row>
    <row r="96" spans="49:58">
      <c r="AW96" s="12"/>
      <c r="AX96" s="12"/>
      <c r="AY96" s="12"/>
      <c r="AZ96" s="12"/>
      <c r="BB96" s="12"/>
      <c r="BC96" s="12"/>
      <c r="BE96" s="12"/>
      <c r="BF96" s="12"/>
    </row>
    <row r="97" spans="49:58">
      <c r="AW97" s="12"/>
      <c r="AX97" s="12"/>
      <c r="AY97" s="12"/>
      <c r="AZ97" s="12"/>
      <c r="BB97" s="12"/>
      <c r="BC97" s="12"/>
      <c r="BE97" s="12"/>
      <c r="BF97" s="12"/>
    </row>
    <row r="98" spans="49:58">
      <c r="AW98" s="12"/>
      <c r="AX98" s="12"/>
      <c r="AY98" s="12"/>
      <c r="AZ98" s="12"/>
      <c r="BB98" s="12"/>
      <c r="BC98" s="12"/>
      <c r="BE98" s="12"/>
      <c r="BF98" s="12"/>
    </row>
    <row r="99" spans="49:58">
      <c r="AW99" s="12"/>
      <c r="AX99" s="12"/>
      <c r="AY99" s="12"/>
      <c r="AZ99" s="12"/>
      <c r="BB99" s="12"/>
      <c r="BC99" s="12"/>
      <c r="BE99" s="12"/>
      <c r="BF99" s="12"/>
    </row>
    <row r="100" spans="49:58">
      <c r="AW100" s="12"/>
      <c r="AX100" s="12"/>
      <c r="AY100" s="12"/>
      <c r="AZ100" s="12"/>
      <c r="BB100" s="12"/>
      <c r="BC100" s="12"/>
      <c r="BE100" s="12"/>
      <c r="BF100" s="12"/>
    </row>
    <row r="101" spans="49:58">
      <c r="AW101" s="12"/>
      <c r="AX101" s="12"/>
      <c r="AY101" s="12"/>
      <c r="AZ101" s="12"/>
      <c r="BB101" s="12"/>
      <c r="BC101" s="12"/>
      <c r="BE101" s="12"/>
      <c r="BF101" s="12"/>
    </row>
    <row r="102" spans="49:58">
      <c r="AW102" s="12"/>
      <c r="AX102" s="12"/>
      <c r="AY102" s="12"/>
      <c r="AZ102" s="12"/>
      <c r="BB102" s="12"/>
      <c r="BC102" s="12"/>
      <c r="BE102" s="12"/>
      <c r="BF102" s="12"/>
    </row>
    <row r="103" spans="49:58">
      <c r="AW103" s="12"/>
      <c r="AX103" s="12"/>
      <c r="AY103" s="12"/>
      <c r="AZ103" s="12"/>
      <c r="BB103" s="12"/>
      <c r="BC103" s="12"/>
      <c r="BE103" s="12"/>
      <c r="BF103" s="12"/>
    </row>
    <row r="104" spans="49:58">
      <c r="AW104" s="12"/>
      <c r="AX104" s="12"/>
      <c r="AY104" s="12"/>
      <c r="AZ104" s="12"/>
      <c r="BB104" s="12"/>
      <c r="BC104" s="12"/>
      <c r="BE104" s="12"/>
      <c r="BF104" s="12"/>
    </row>
    <row r="105" spans="49:58">
      <c r="AW105" s="12"/>
      <c r="AX105" s="12"/>
      <c r="AY105" s="12"/>
      <c r="AZ105" s="12"/>
      <c r="BB105" s="12"/>
      <c r="BC105" s="12"/>
      <c r="BE105" s="12"/>
      <c r="BF105" s="12"/>
    </row>
    <row r="106" spans="49:58">
      <c r="AW106" s="12"/>
      <c r="AX106" s="12"/>
      <c r="AY106" s="12"/>
      <c r="AZ106" s="12"/>
      <c r="BB106" s="12"/>
      <c r="BC106" s="12"/>
      <c r="BE106" s="12"/>
      <c r="BF106" s="12"/>
    </row>
    <row r="107" spans="49:58">
      <c r="AW107" s="12"/>
      <c r="AX107" s="12"/>
      <c r="AY107" s="12"/>
      <c r="AZ107" s="12"/>
      <c r="BB107" s="12"/>
      <c r="BC107" s="12"/>
      <c r="BE107" s="12"/>
      <c r="BF107" s="12"/>
    </row>
    <row r="108" spans="49:58">
      <c r="AW108" s="12"/>
      <c r="AX108" s="12"/>
      <c r="AY108" s="12"/>
      <c r="AZ108" s="12"/>
      <c r="BB108" s="12"/>
      <c r="BC108" s="12"/>
      <c r="BE108" s="12"/>
      <c r="BF108" s="12"/>
    </row>
    <row r="109" spans="49:58">
      <c r="AW109" s="12"/>
      <c r="AX109" s="12"/>
      <c r="AY109" s="12"/>
      <c r="AZ109" s="12"/>
      <c r="BB109" s="12"/>
      <c r="BC109" s="12"/>
      <c r="BE109" s="12"/>
      <c r="BF109" s="12"/>
    </row>
    <row r="110" spans="49:58">
      <c r="AW110" s="12"/>
      <c r="AX110" s="12"/>
      <c r="AY110" s="12"/>
      <c r="AZ110" s="12"/>
      <c r="BB110" s="12"/>
      <c r="BC110" s="12"/>
      <c r="BE110" s="12"/>
      <c r="BF110" s="12"/>
    </row>
    <row r="111" spans="49:58">
      <c r="AW111" s="12"/>
      <c r="AX111" s="12"/>
      <c r="AY111" s="12"/>
      <c r="AZ111" s="12"/>
      <c r="BB111" s="12"/>
      <c r="BC111" s="12"/>
      <c r="BE111" s="12"/>
      <c r="BF111" s="12"/>
    </row>
    <row r="112" spans="49:58">
      <c r="AW112" s="12"/>
      <c r="AX112" s="12"/>
      <c r="AY112" s="12"/>
      <c r="AZ112" s="12"/>
      <c r="BB112" s="12"/>
      <c r="BC112" s="12"/>
      <c r="BE112" s="12"/>
      <c r="BF112" s="12"/>
    </row>
    <row r="113" spans="49:58">
      <c r="AW113" s="12"/>
      <c r="AX113" s="12"/>
      <c r="AY113" s="12"/>
      <c r="AZ113" s="12"/>
      <c r="BB113" s="12"/>
      <c r="BC113" s="12"/>
      <c r="BE113" s="12"/>
      <c r="BF113" s="12"/>
    </row>
    <row r="114" spans="49:58">
      <c r="AW114" s="12"/>
      <c r="AX114" s="12"/>
      <c r="AY114" s="12"/>
      <c r="AZ114" s="12"/>
      <c r="BB114" s="12"/>
      <c r="BC114" s="12"/>
      <c r="BE114" s="12"/>
      <c r="BF114" s="12"/>
    </row>
    <row r="115" spans="49:58">
      <c r="AW115" s="12"/>
      <c r="AX115" s="12"/>
      <c r="AY115" s="12"/>
      <c r="AZ115" s="12"/>
      <c r="BB115" s="12"/>
      <c r="BC115" s="12"/>
      <c r="BE115" s="12"/>
      <c r="BF115" s="12"/>
    </row>
    <row r="116" spans="49:58">
      <c r="AW116" s="12"/>
      <c r="AX116" s="12"/>
      <c r="AY116" s="12"/>
      <c r="AZ116" s="12"/>
      <c r="BB116" s="12"/>
      <c r="BC116" s="12"/>
      <c r="BE116" s="12"/>
      <c r="BF116" s="12"/>
    </row>
    <row r="117" spans="49:58">
      <c r="AW117" s="12"/>
      <c r="AX117" s="12"/>
      <c r="AY117" s="12"/>
      <c r="AZ117" s="12"/>
      <c r="BB117" s="12"/>
      <c r="BC117" s="12"/>
      <c r="BE117" s="12"/>
      <c r="BF117" s="12"/>
    </row>
    <row r="118" spans="49:58">
      <c r="AW118" s="12"/>
      <c r="AX118" s="12"/>
      <c r="AY118" s="12"/>
      <c r="AZ118" s="12"/>
      <c r="BB118" s="12"/>
      <c r="BC118" s="12"/>
      <c r="BE118" s="12"/>
      <c r="BF118" s="12"/>
    </row>
    <row r="119" spans="49:58">
      <c r="AW119" s="12"/>
      <c r="AX119" s="12"/>
      <c r="AY119" s="12"/>
      <c r="AZ119" s="12"/>
      <c r="BB119" s="12"/>
      <c r="BC119" s="12"/>
      <c r="BE119" s="12"/>
      <c r="BF119" s="12"/>
    </row>
    <row r="120" spans="49:58">
      <c r="AW120" s="12"/>
      <c r="AX120" s="12"/>
      <c r="AY120" s="12"/>
      <c r="AZ120" s="12"/>
      <c r="BB120" s="12"/>
      <c r="BC120" s="12"/>
      <c r="BE120" s="12"/>
      <c r="BF120" s="12"/>
    </row>
    <row r="121" spans="49:58">
      <c r="AW121" s="12"/>
      <c r="AX121" s="12"/>
      <c r="AY121" s="12"/>
      <c r="AZ121" s="12"/>
      <c r="BB121" s="12"/>
      <c r="BC121" s="12"/>
      <c r="BE121" s="12"/>
      <c r="BF121" s="12"/>
    </row>
    <row r="122" spans="49:58">
      <c r="AW122" s="12"/>
      <c r="AX122" s="12"/>
      <c r="AY122" s="12"/>
      <c r="AZ122" s="12"/>
      <c r="BB122" s="12"/>
      <c r="BC122" s="12"/>
      <c r="BE122" s="12"/>
      <c r="BF122" s="12"/>
    </row>
    <row r="123" spans="49:58">
      <c r="AW123" s="12"/>
      <c r="AX123" s="12"/>
      <c r="AY123" s="12"/>
      <c r="AZ123" s="12"/>
      <c r="BB123" s="12"/>
      <c r="BC123" s="12"/>
      <c r="BE123" s="12"/>
      <c r="BF123" s="12"/>
    </row>
    <row r="124" spans="49:58">
      <c r="AW124" s="12"/>
      <c r="AX124" s="12"/>
      <c r="AY124" s="12"/>
      <c r="AZ124" s="12"/>
      <c r="BB124" s="12"/>
      <c r="BC124" s="12"/>
      <c r="BE124" s="12"/>
      <c r="BF124" s="12"/>
    </row>
    <row r="125" spans="49:58">
      <c r="AW125" s="12"/>
      <c r="AX125" s="12"/>
      <c r="AY125" s="12"/>
      <c r="AZ125" s="12"/>
      <c r="BB125" s="12"/>
      <c r="BC125" s="12"/>
      <c r="BE125" s="12"/>
      <c r="BF125" s="12"/>
    </row>
    <row r="126" spans="49:58">
      <c r="AW126" s="12"/>
      <c r="AX126" s="12"/>
      <c r="AY126" s="12"/>
      <c r="AZ126" s="12"/>
      <c r="BB126" s="12"/>
      <c r="BC126" s="12"/>
      <c r="BE126" s="12"/>
      <c r="BF126" s="12"/>
    </row>
    <row r="127" spans="49:58">
      <c r="AW127" s="12"/>
      <c r="AX127" s="12"/>
      <c r="AY127" s="12"/>
      <c r="AZ127" s="12"/>
      <c r="BB127" s="12"/>
      <c r="BC127" s="12"/>
      <c r="BE127" s="12"/>
      <c r="BF127" s="12"/>
    </row>
    <row r="128" spans="49:58">
      <c r="AW128" s="12"/>
      <c r="AX128" s="12"/>
      <c r="AY128" s="12"/>
      <c r="AZ128" s="12"/>
      <c r="BB128" s="12"/>
      <c r="BC128" s="12"/>
      <c r="BE128" s="12"/>
      <c r="BF128" s="12"/>
    </row>
    <row r="129" spans="49:58">
      <c r="AW129" s="12"/>
      <c r="AX129" s="12"/>
      <c r="AY129" s="12"/>
      <c r="AZ129" s="12"/>
      <c r="BB129" s="12"/>
      <c r="BC129" s="12"/>
      <c r="BE129" s="12"/>
      <c r="BF129" s="12"/>
    </row>
    <row r="130" spans="49:58">
      <c r="AW130" s="12"/>
      <c r="AX130" s="12"/>
      <c r="AY130" s="12"/>
      <c r="AZ130" s="12"/>
      <c r="BB130" s="12"/>
      <c r="BC130" s="12"/>
      <c r="BE130" s="12"/>
      <c r="BF130" s="12"/>
    </row>
    <row r="131" spans="49:58">
      <c r="AW131" s="12"/>
      <c r="AX131" s="12"/>
      <c r="AY131" s="12"/>
      <c r="AZ131" s="12"/>
      <c r="BB131" s="12"/>
      <c r="BC131" s="12"/>
      <c r="BE131" s="12"/>
      <c r="BF131" s="12"/>
    </row>
    <row r="132" spans="49:58">
      <c r="AW132" s="12"/>
      <c r="AX132" s="12"/>
      <c r="AY132" s="12"/>
      <c r="AZ132" s="12"/>
      <c r="BB132" s="12"/>
      <c r="BC132" s="12"/>
      <c r="BE132" s="12"/>
      <c r="BF132" s="12"/>
    </row>
    <row r="133" spans="49:58">
      <c r="AW133" s="12"/>
      <c r="AX133" s="12"/>
      <c r="AY133" s="12"/>
      <c r="AZ133" s="12"/>
      <c r="BB133" s="12"/>
      <c r="BC133" s="12"/>
      <c r="BE133" s="12"/>
      <c r="BF133" s="12"/>
    </row>
    <row r="134" spans="49:58">
      <c r="AW134" s="12"/>
      <c r="AX134" s="12"/>
      <c r="AY134" s="12"/>
      <c r="AZ134" s="12"/>
      <c r="BB134" s="12"/>
      <c r="BC134" s="12"/>
      <c r="BE134" s="12"/>
      <c r="BF134" s="12"/>
    </row>
    <row r="135" spans="49:58">
      <c r="AW135" s="12"/>
      <c r="AX135" s="12"/>
      <c r="AY135" s="12"/>
      <c r="AZ135" s="12"/>
      <c r="BB135" s="12"/>
      <c r="BC135" s="12"/>
      <c r="BE135" s="12"/>
      <c r="BF135" s="12"/>
    </row>
    <row r="136" spans="49:58">
      <c r="AW136" s="12"/>
      <c r="AX136" s="12"/>
      <c r="AY136" s="12"/>
      <c r="AZ136" s="12"/>
      <c r="BB136" s="12"/>
      <c r="BC136" s="12"/>
      <c r="BE136" s="12"/>
      <c r="BF136" s="12"/>
    </row>
    <row r="137" spans="49:58">
      <c r="AW137" s="12"/>
      <c r="AX137" s="12"/>
      <c r="AY137" s="12"/>
      <c r="AZ137" s="12"/>
      <c r="BB137" s="12"/>
      <c r="BC137" s="12"/>
      <c r="BE137" s="12"/>
      <c r="BF137" s="12"/>
    </row>
    <row r="138" spans="49:58">
      <c r="AW138" s="12"/>
      <c r="AX138" s="12"/>
      <c r="AY138" s="12"/>
      <c r="AZ138" s="12"/>
      <c r="BB138" s="12"/>
      <c r="BC138" s="12"/>
      <c r="BE138" s="12"/>
      <c r="BF138" s="12"/>
    </row>
    <row r="139" spans="49:58">
      <c r="AW139" s="12"/>
      <c r="AX139" s="12"/>
      <c r="AY139" s="12"/>
      <c r="AZ139" s="12"/>
      <c r="BB139" s="12"/>
      <c r="BC139" s="12"/>
      <c r="BE139" s="12"/>
      <c r="BF139" s="12"/>
    </row>
    <row r="140" spans="49:58">
      <c r="AW140" s="12"/>
      <c r="AX140" s="12"/>
      <c r="AY140" s="12"/>
      <c r="AZ140" s="12"/>
      <c r="BB140" s="12"/>
      <c r="BC140" s="12"/>
      <c r="BE140" s="12"/>
      <c r="BF140" s="12"/>
    </row>
  </sheetData>
  <sheetProtection algorithmName="SHA-512" hashValue="qAg/0q4PQTP/VBFtSJIQwg8sTu2YEK0fSGCLuuZOntZyEGSMOzodJEWnZ9747TbgO/ax7D2mGZa6lt7XApBQ+A==" saltValue="U2Wj9OqW0MeaJ6vDL/FeYw==" spinCount="100000" sheet="1" objects="1" scenarios="1"/>
  <sortState xmlns:xlrd2="http://schemas.microsoft.com/office/spreadsheetml/2017/richdata2" ref="A26:CI30">
    <sortCondition ref="B26:B30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7CD75-9058-4604-AC5B-348DF7DE69B2}">
  <sheetPr>
    <tabColor theme="9"/>
  </sheetPr>
  <dimension ref="A1:H73"/>
  <sheetViews>
    <sheetView workbookViewId="0"/>
  </sheetViews>
  <sheetFormatPr baseColWidth="10" defaultRowHeight="12.75"/>
  <cols>
    <col min="1" max="1" width="35.42578125" bestFit="1" customWidth="1"/>
  </cols>
  <sheetData>
    <row r="1" spans="1:8">
      <c r="A1" t="s">
        <v>236</v>
      </c>
      <c r="B1" t="s">
        <v>237</v>
      </c>
      <c r="C1" t="s">
        <v>238</v>
      </c>
      <c r="D1" t="s">
        <v>239</v>
      </c>
      <c r="E1" t="s">
        <v>240</v>
      </c>
      <c r="F1" t="s">
        <v>241</v>
      </c>
      <c r="G1" t="s">
        <v>233</v>
      </c>
      <c r="H1" t="s">
        <v>242</v>
      </c>
    </row>
    <row r="2" spans="1:8">
      <c r="A2" t="s">
        <v>264</v>
      </c>
      <c r="B2" t="s">
        <v>65</v>
      </c>
      <c r="C2">
        <v>0</v>
      </c>
      <c r="D2">
        <v>0</v>
      </c>
      <c r="E2">
        <v>0</v>
      </c>
      <c r="F2">
        <v>210</v>
      </c>
      <c r="G2">
        <v>28</v>
      </c>
      <c r="H2">
        <v>0</v>
      </c>
    </row>
    <row r="3" spans="1:8">
      <c r="A3" t="s">
        <v>265</v>
      </c>
      <c r="B3" t="s">
        <v>266</v>
      </c>
      <c r="C3">
        <v>485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 t="s">
        <v>267</v>
      </c>
      <c r="B4" t="s">
        <v>64</v>
      </c>
      <c r="C4">
        <v>0</v>
      </c>
      <c r="D4">
        <v>0</v>
      </c>
      <c r="E4">
        <v>0</v>
      </c>
      <c r="F4">
        <v>415</v>
      </c>
      <c r="G4">
        <v>91</v>
      </c>
      <c r="H4">
        <v>0</v>
      </c>
    </row>
    <row r="5" spans="1:8">
      <c r="A5" t="s">
        <v>268</v>
      </c>
      <c r="B5" t="s">
        <v>60</v>
      </c>
      <c r="C5">
        <v>0</v>
      </c>
      <c r="D5">
        <v>0</v>
      </c>
      <c r="E5">
        <v>373</v>
      </c>
      <c r="F5">
        <v>0</v>
      </c>
      <c r="G5">
        <v>0</v>
      </c>
      <c r="H5">
        <v>0</v>
      </c>
    </row>
    <row r="6" spans="1:8">
      <c r="A6" t="s">
        <v>269</v>
      </c>
      <c r="B6" t="s">
        <v>63</v>
      </c>
      <c r="C6">
        <v>0</v>
      </c>
      <c r="D6">
        <v>0</v>
      </c>
      <c r="E6">
        <v>0</v>
      </c>
      <c r="F6">
        <v>842</v>
      </c>
      <c r="G6">
        <v>160</v>
      </c>
      <c r="H6">
        <v>0</v>
      </c>
    </row>
    <row r="7" spans="1:8">
      <c r="A7" t="s">
        <v>270</v>
      </c>
      <c r="B7" t="s">
        <v>271</v>
      </c>
      <c r="C7">
        <v>67</v>
      </c>
      <c r="D7">
        <v>0</v>
      </c>
      <c r="E7">
        <v>0</v>
      </c>
      <c r="F7">
        <v>0</v>
      </c>
      <c r="G7">
        <v>0</v>
      </c>
      <c r="H7">
        <v>0</v>
      </c>
    </row>
    <row r="8" spans="1:8">
      <c r="A8" t="s">
        <v>272</v>
      </c>
      <c r="B8" t="s">
        <v>273</v>
      </c>
      <c r="C8">
        <v>286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 t="s">
        <v>274</v>
      </c>
      <c r="B9" t="s">
        <v>52</v>
      </c>
      <c r="C9">
        <v>0</v>
      </c>
      <c r="D9">
        <v>0</v>
      </c>
      <c r="E9">
        <v>1000</v>
      </c>
      <c r="F9">
        <v>54</v>
      </c>
      <c r="G9">
        <v>106</v>
      </c>
      <c r="H9">
        <v>0</v>
      </c>
    </row>
    <row r="10" spans="1:8">
      <c r="A10" t="s">
        <v>275</v>
      </c>
      <c r="B10" t="s">
        <v>276</v>
      </c>
      <c r="C10">
        <v>103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 t="s">
        <v>277</v>
      </c>
      <c r="B11" t="s">
        <v>278</v>
      </c>
      <c r="C11">
        <v>493</v>
      </c>
      <c r="D11">
        <v>50</v>
      </c>
      <c r="E11">
        <v>0</v>
      </c>
      <c r="F11">
        <v>0</v>
      </c>
      <c r="G11">
        <v>0</v>
      </c>
      <c r="H11">
        <v>0</v>
      </c>
    </row>
    <row r="12" spans="1:8">
      <c r="A12" t="s">
        <v>279</v>
      </c>
      <c r="B12" t="s">
        <v>280</v>
      </c>
      <c r="C12">
        <v>283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 t="s">
        <v>281</v>
      </c>
      <c r="B13" t="s">
        <v>282</v>
      </c>
      <c r="C13">
        <v>292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 t="s">
        <v>283</v>
      </c>
      <c r="B14" t="s">
        <v>284</v>
      </c>
      <c r="C14">
        <v>68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 t="s">
        <v>285</v>
      </c>
      <c r="B15" t="s">
        <v>286</v>
      </c>
      <c r="C15">
        <v>333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 t="s">
        <v>287</v>
      </c>
      <c r="B16" t="s">
        <v>288</v>
      </c>
      <c r="C16">
        <v>445</v>
      </c>
      <c r="D16">
        <v>66</v>
      </c>
      <c r="E16">
        <v>0</v>
      </c>
      <c r="F16">
        <v>0</v>
      </c>
      <c r="G16">
        <v>0</v>
      </c>
      <c r="H16">
        <v>0</v>
      </c>
    </row>
    <row r="17" spans="1:8">
      <c r="A17" t="s">
        <v>289</v>
      </c>
      <c r="B17" t="s">
        <v>290</v>
      </c>
      <c r="C17">
        <v>341</v>
      </c>
      <c r="D17">
        <v>63</v>
      </c>
      <c r="E17">
        <v>54</v>
      </c>
      <c r="F17">
        <v>0</v>
      </c>
      <c r="G17">
        <v>0</v>
      </c>
      <c r="H17">
        <v>0</v>
      </c>
    </row>
    <row r="18" spans="1:8">
      <c r="A18" t="s">
        <v>291</v>
      </c>
      <c r="B18" t="s">
        <v>292</v>
      </c>
      <c r="C18">
        <v>229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 t="s">
        <v>293</v>
      </c>
      <c r="B19" t="s">
        <v>294</v>
      </c>
      <c r="C19">
        <v>138</v>
      </c>
      <c r="D19">
        <v>41</v>
      </c>
      <c r="E19">
        <v>0</v>
      </c>
      <c r="F19">
        <v>0</v>
      </c>
      <c r="G19">
        <v>0</v>
      </c>
      <c r="H19">
        <v>0</v>
      </c>
    </row>
    <row r="20" spans="1:8">
      <c r="A20" t="s">
        <v>295</v>
      </c>
      <c r="B20" t="s">
        <v>296</v>
      </c>
      <c r="C20">
        <v>72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 t="s">
        <v>297</v>
      </c>
      <c r="B21" t="s">
        <v>298</v>
      </c>
      <c r="C21">
        <v>465</v>
      </c>
      <c r="D21">
        <v>56</v>
      </c>
      <c r="E21">
        <v>0</v>
      </c>
      <c r="F21">
        <v>0</v>
      </c>
      <c r="G21">
        <v>0</v>
      </c>
      <c r="H21">
        <v>0</v>
      </c>
    </row>
    <row r="22" spans="1:8">
      <c r="A22" t="s">
        <v>299</v>
      </c>
      <c r="B22" t="s">
        <v>300</v>
      </c>
      <c r="C22">
        <v>105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 t="s">
        <v>301</v>
      </c>
      <c r="B23" t="s">
        <v>302</v>
      </c>
      <c r="C23">
        <v>417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 t="s">
        <v>303</v>
      </c>
      <c r="B24" t="s">
        <v>304</v>
      </c>
      <c r="C24">
        <v>459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 t="s">
        <v>305</v>
      </c>
      <c r="B25" t="s">
        <v>306</v>
      </c>
      <c r="C25">
        <v>143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 t="s">
        <v>307</v>
      </c>
      <c r="B26" t="s">
        <v>308</v>
      </c>
      <c r="C26">
        <v>151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 t="s">
        <v>309</v>
      </c>
      <c r="B27" t="s">
        <v>310</v>
      </c>
      <c r="C27">
        <v>148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 t="s">
        <v>311</v>
      </c>
      <c r="B28" t="s">
        <v>312</v>
      </c>
      <c r="C28">
        <v>108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 t="s">
        <v>313</v>
      </c>
      <c r="B29" t="s">
        <v>314</v>
      </c>
      <c r="C29">
        <v>165</v>
      </c>
      <c r="D29">
        <v>31</v>
      </c>
      <c r="E29">
        <v>0</v>
      </c>
      <c r="F29">
        <v>0</v>
      </c>
      <c r="G29">
        <v>0</v>
      </c>
      <c r="H29">
        <v>0</v>
      </c>
    </row>
    <row r="30" spans="1:8">
      <c r="A30" t="s">
        <v>315</v>
      </c>
      <c r="B30" t="s">
        <v>316</v>
      </c>
      <c r="C30">
        <v>78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 t="s">
        <v>317</v>
      </c>
      <c r="B31" t="s">
        <v>66</v>
      </c>
      <c r="C31">
        <v>0</v>
      </c>
      <c r="D31">
        <v>0</v>
      </c>
      <c r="E31">
        <v>15</v>
      </c>
      <c r="F31">
        <v>1238</v>
      </c>
      <c r="G31">
        <v>276</v>
      </c>
      <c r="H31">
        <v>21</v>
      </c>
    </row>
    <row r="32" spans="1:8">
      <c r="A32" t="s">
        <v>318</v>
      </c>
      <c r="B32" t="s">
        <v>58</v>
      </c>
      <c r="C32">
        <v>0</v>
      </c>
      <c r="D32">
        <v>0</v>
      </c>
      <c r="E32">
        <v>284</v>
      </c>
      <c r="F32">
        <v>241</v>
      </c>
      <c r="G32">
        <v>0</v>
      </c>
      <c r="H32">
        <v>0</v>
      </c>
    </row>
    <row r="33" spans="1:8">
      <c r="A33" t="s">
        <v>319</v>
      </c>
      <c r="B33" t="s">
        <v>68</v>
      </c>
      <c r="C33">
        <v>0</v>
      </c>
      <c r="D33">
        <v>0</v>
      </c>
      <c r="E33">
        <v>231</v>
      </c>
      <c r="F33">
        <v>390</v>
      </c>
      <c r="G33">
        <v>105</v>
      </c>
      <c r="H33">
        <v>0</v>
      </c>
    </row>
    <row r="34" spans="1:8">
      <c r="A34" t="s">
        <v>320</v>
      </c>
      <c r="B34" t="s">
        <v>321</v>
      </c>
      <c r="C34">
        <v>556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 t="s">
        <v>322</v>
      </c>
      <c r="B35" t="s">
        <v>323</v>
      </c>
      <c r="C35">
        <v>86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 t="s">
        <v>324</v>
      </c>
      <c r="B36" t="s">
        <v>325</v>
      </c>
      <c r="C36">
        <v>562</v>
      </c>
      <c r="D36">
        <v>69</v>
      </c>
      <c r="E36">
        <v>0</v>
      </c>
      <c r="F36">
        <v>0</v>
      </c>
      <c r="G36">
        <v>0</v>
      </c>
      <c r="H36">
        <v>0</v>
      </c>
    </row>
    <row r="37" spans="1:8">
      <c r="A37" t="s">
        <v>326</v>
      </c>
      <c r="B37" t="s">
        <v>327</v>
      </c>
      <c r="C37">
        <v>141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>
      <c r="A38" t="s">
        <v>328</v>
      </c>
      <c r="B38" t="s">
        <v>329</v>
      </c>
      <c r="C38">
        <v>498</v>
      </c>
      <c r="D38">
        <v>73</v>
      </c>
      <c r="E38">
        <v>0</v>
      </c>
      <c r="F38">
        <v>0</v>
      </c>
      <c r="G38">
        <v>0</v>
      </c>
      <c r="H38">
        <v>0</v>
      </c>
    </row>
    <row r="39" spans="1:8">
      <c r="A39" t="s">
        <v>330</v>
      </c>
      <c r="B39" t="s">
        <v>54</v>
      </c>
      <c r="C39">
        <v>0</v>
      </c>
      <c r="D39">
        <v>0</v>
      </c>
      <c r="E39">
        <v>278</v>
      </c>
      <c r="F39">
        <v>0</v>
      </c>
      <c r="G39">
        <v>61</v>
      </c>
      <c r="H39">
        <v>0</v>
      </c>
    </row>
    <row r="40" spans="1:8">
      <c r="A40" t="s">
        <v>331</v>
      </c>
      <c r="B40" t="s">
        <v>332</v>
      </c>
      <c r="C40">
        <v>523</v>
      </c>
      <c r="D40">
        <v>74</v>
      </c>
      <c r="E40">
        <v>0</v>
      </c>
      <c r="F40">
        <v>0</v>
      </c>
      <c r="G40">
        <v>0</v>
      </c>
      <c r="H40">
        <v>0</v>
      </c>
    </row>
    <row r="41" spans="1:8">
      <c r="A41" t="s">
        <v>333</v>
      </c>
      <c r="B41" t="s">
        <v>334</v>
      </c>
      <c r="C41">
        <v>609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>
      <c r="A42" t="s">
        <v>335</v>
      </c>
      <c r="B42" t="s">
        <v>55</v>
      </c>
      <c r="C42">
        <v>0</v>
      </c>
      <c r="D42">
        <v>0</v>
      </c>
      <c r="E42">
        <v>51</v>
      </c>
      <c r="F42">
        <v>0</v>
      </c>
      <c r="G42">
        <v>0</v>
      </c>
      <c r="H42">
        <v>0</v>
      </c>
    </row>
    <row r="43" spans="1:8">
      <c r="A43" t="s">
        <v>336</v>
      </c>
      <c r="B43" t="s">
        <v>337</v>
      </c>
      <c r="C43">
        <v>458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>
      <c r="A44" t="s">
        <v>338</v>
      </c>
      <c r="B44" t="s">
        <v>339</v>
      </c>
      <c r="C44">
        <v>79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 t="s">
        <v>340</v>
      </c>
      <c r="B45" t="s">
        <v>341</v>
      </c>
      <c r="C45">
        <v>84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 t="s">
        <v>342</v>
      </c>
      <c r="B46" t="s">
        <v>343</v>
      </c>
      <c r="C46">
        <v>111</v>
      </c>
      <c r="D46">
        <v>32</v>
      </c>
      <c r="E46">
        <v>0</v>
      </c>
      <c r="F46">
        <v>0</v>
      </c>
      <c r="G46">
        <v>0</v>
      </c>
      <c r="H46">
        <v>0</v>
      </c>
    </row>
    <row r="47" spans="1:8">
      <c r="A47" t="s">
        <v>344</v>
      </c>
      <c r="B47" t="s">
        <v>345</v>
      </c>
      <c r="C47">
        <v>341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 t="s">
        <v>346</v>
      </c>
      <c r="B48" t="s">
        <v>347</v>
      </c>
      <c r="C48">
        <v>551</v>
      </c>
      <c r="D48">
        <v>66</v>
      </c>
      <c r="E48">
        <v>0</v>
      </c>
      <c r="F48">
        <v>0</v>
      </c>
      <c r="G48">
        <v>0</v>
      </c>
      <c r="H48">
        <v>0</v>
      </c>
    </row>
    <row r="49" spans="1:8">
      <c r="A49" t="s">
        <v>348</v>
      </c>
      <c r="B49" t="s">
        <v>349</v>
      </c>
      <c r="C49">
        <v>688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 t="s">
        <v>350</v>
      </c>
      <c r="B50" t="s">
        <v>351</v>
      </c>
      <c r="C50">
        <v>94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 t="s">
        <v>352</v>
      </c>
      <c r="B51" t="s">
        <v>32</v>
      </c>
      <c r="C51">
        <v>0</v>
      </c>
      <c r="D51">
        <v>0</v>
      </c>
      <c r="E51">
        <v>503</v>
      </c>
      <c r="F51">
        <v>574</v>
      </c>
      <c r="G51">
        <v>416</v>
      </c>
      <c r="H51">
        <v>0</v>
      </c>
    </row>
    <row r="52" spans="1:8">
      <c r="A52" t="s">
        <v>353</v>
      </c>
      <c r="B52" t="s">
        <v>354</v>
      </c>
      <c r="C52">
        <v>153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 t="s">
        <v>355</v>
      </c>
      <c r="B53" t="s">
        <v>62</v>
      </c>
      <c r="C53">
        <v>0</v>
      </c>
      <c r="D53">
        <v>0</v>
      </c>
      <c r="E53">
        <v>0</v>
      </c>
      <c r="F53">
        <v>1038</v>
      </c>
      <c r="G53">
        <v>385</v>
      </c>
      <c r="H53">
        <v>18</v>
      </c>
    </row>
    <row r="54" spans="1:8">
      <c r="A54" t="s">
        <v>356</v>
      </c>
      <c r="B54" t="s">
        <v>357</v>
      </c>
      <c r="C54">
        <v>222</v>
      </c>
      <c r="D54">
        <v>54</v>
      </c>
      <c r="E54">
        <v>0</v>
      </c>
      <c r="F54">
        <v>0</v>
      </c>
      <c r="G54">
        <v>0</v>
      </c>
      <c r="H54">
        <v>0</v>
      </c>
    </row>
    <row r="55" spans="1:8">
      <c r="A55" t="s">
        <v>358</v>
      </c>
      <c r="B55" t="s">
        <v>359</v>
      </c>
      <c r="C55">
        <v>285</v>
      </c>
      <c r="D55">
        <v>51</v>
      </c>
      <c r="E55">
        <v>0</v>
      </c>
      <c r="F55">
        <v>0</v>
      </c>
      <c r="G55">
        <v>0</v>
      </c>
      <c r="H55">
        <v>0</v>
      </c>
    </row>
    <row r="56" spans="1:8">
      <c r="A56" t="s">
        <v>360</v>
      </c>
      <c r="B56" t="s">
        <v>361</v>
      </c>
      <c r="C56">
        <v>441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 t="s">
        <v>362</v>
      </c>
      <c r="B57" t="s">
        <v>51</v>
      </c>
      <c r="C57">
        <v>0</v>
      </c>
      <c r="D57">
        <v>0</v>
      </c>
      <c r="E57">
        <v>496</v>
      </c>
      <c r="F57">
        <v>0</v>
      </c>
      <c r="G57">
        <v>56</v>
      </c>
      <c r="H57">
        <v>0</v>
      </c>
    </row>
    <row r="58" spans="1:8">
      <c r="A58" t="s">
        <v>363</v>
      </c>
      <c r="B58" t="s">
        <v>67</v>
      </c>
      <c r="C58">
        <v>0</v>
      </c>
      <c r="D58">
        <v>0</v>
      </c>
      <c r="E58">
        <v>180</v>
      </c>
      <c r="F58">
        <v>365</v>
      </c>
      <c r="G58">
        <v>55</v>
      </c>
      <c r="H58">
        <v>0</v>
      </c>
    </row>
    <row r="59" spans="1:8">
      <c r="A59" t="s">
        <v>364</v>
      </c>
      <c r="B59" t="s">
        <v>365</v>
      </c>
      <c r="C59">
        <v>173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>
      <c r="A60" t="s">
        <v>366</v>
      </c>
      <c r="B60" t="s">
        <v>56</v>
      </c>
      <c r="C60">
        <v>0</v>
      </c>
      <c r="D60">
        <v>0</v>
      </c>
      <c r="E60">
        <v>252</v>
      </c>
      <c r="F60">
        <v>0</v>
      </c>
      <c r="G60">
        <v>0</v>
      </c>
      <c r="H60">
        <v>0</v>
      </c>
    </row>
    <row r="61" spans="1:8">
      <c r="A61" t="s">
        <v>367</v>
      </c>
      <c r="B61" t="s">
        <v>57</v>
      </c>
      <c r="C61">
        <v>0</v>
      </c>
      <c r="D61">
        <v>0</v>
      </c>
      <c r="E61">
        <v>288</v>
      </c>
      <c r="F61">
        <v>0</v>
      </c>
      <c r="G61">
        <v>15</v>
      </c>
      <c r="H61">
        <v>0</v>
      </c>
    </row>
    <row r="62" spans="1:8">
      <c r="A62" t="s">
        <v>368</v>
      </c>
      <c r="B62" t="s">
        <v>369</v>
      </c>
      <c r="C62">
        <v>364</v>
      </c>
      <c r="D62">
        <v>56</v>
      </c>
      <c r="E62">
        <v>0</v>
      </c>
      <c r="F62">
        <v>0</v>
      </c>
      <c r="G62">
        <v>0</v>
      </c>
      <c r="H62">
        <v>0</v>
      </c>
    </row>
    <row r="63" spans="1:8">
      <c r="A63" t="s">
        <v>370</v>
      </c>
      <c r="B63" t="s">
        <v>371</v>
      </c>
      <c r="C63">
        <v>132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>
      <c r="A64" t="s">
        <v>372</v>
      </c>
      <c r="B64" t="s">
        <v>50</v>
      </c>
      <c r="C64">
        <v>0</v>
      </c>
      <c r="D64">
        <v>0</v>
      </c>
      <c r="E64">
        <v>388</v>
      </c>
      <c r="F64">
        <v>0</v>
      </c>
      <c r="G64">
        <v>26</v>
      </c>
      <c r="H64">
        <v>0</v>
      </c>
    </row>
    <row r="65" spans="1:8">
      <c r="A65" t="s">
        <v>373</v>
      </c>
      <c r="B65" t="s">
        <v>374</v>
      </c>
      <c r="C65">
        <v>449</v>
      </c>
      <c r="D65">
        <v>55</v>
      </c>
      <c r="E65">
        <v>0</v>
      </c>
      <c r="F65">
        <v>0</v>
      </c>
      <c r="G65">
        <v>0</v>
      </c>
      <c r="H65">
        <v>0</v>
      </c>
    </row>
    <row r="66" spans="1:8">
      <c r="A66" t="s">
        <v>375</v>
      </c>
      <c r="B66" t="s">
        <v>376</v>
      </c>
      <c r="C66">
        <v>89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>
      <c r="A67" t="s">
        <v>377</v>
      </c>
      <c r="B67" t="s">
        <v>378</v>
      </c>
      <c r="C67">
        <v>152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>
      <c r="A68" t="s">
        <v>379</v>
      </c>
      <c r="B68" t="s">
        <v>380</v>
      </c>
      <c r="C68">
        <v>631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>
      <c r="A69" t="s">
        <v>379</v>
      </c>
      <c r="B69" t="s">
        <v>53</v>
      </c>
      <c r="C69">
        <v>0</v>
      </c>
      <c r="D69">
        <v>0</v>
      </c>
      <c r="E69">
        <v>331</v>
      </c>
      <c r="F69">
        <v>0</v>
      </c>
      <c r="G69">
        <v>84</v>
      </c>
      <c r="H69">
        <v>0</v>
      </c>
    </row>
    <row r="70" spans="1:8">
      <c r="A70" t="s">
        <v>381</v>
      </c>
      <c r="B70" t="s">
        <v>59</v>
      </c>
      <c r="C70">
        <v>0</v>
      </c>
      <c r="D70">
        <v>0</v>
      </c>
      <c r="E70">
        <v>248</v>
      </c>
      <c r="F70">
        <v>0</v>
      </c>
      <c r="G70">
        <v>25</v>
      </c>
      <c r="H70">
        <v>0</v>
      </c>
    </row>
    <row r="71" spans="1:8">
      <c r="A71" t="s">
        <v>382</v>
      </c>
      <c r="B71" t="s">
        <v>383</v>
      </c>
      <c r="C71">
        <v>370</v>
      </c>
      <c r="D71">
        <v>0</v>
      </c>
      <c r="E71">
        <v>49</v>
      </c>
      <c r="F71">
        <v>0</v>
      </c>
      <c r="G71">
        <v>0</v>
      </c>
      <c r="H71">
        <v>0</v>
      </c>
    </row>
    <row r="72" spans="1:8">
      <c r="A72" t="s">
        <v>384</v>
      </c>
      <c r="B72" t="s">
        <v>385</v>
      </c>
      <c r="C72">
        <v>445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>
      <c r="A73" t="s">
        <v>386</v>
      </c>
      <c r="B73" t="s">
        <v>61</v>
      </c>
      <c r="C73">
        <v>0</v>
      </c>
      <c r="D73">
        <v>0</v>
      </c>
      <c r="E73">
        <v>183</v>
      </c>
      <c r="F73">
        <v>203</v>
      </c>
      <c r="G73">
        <v>27</v>
      </c>
      <c r="H73">
        <v>0</v>
      </c>
    </row>
  </sheetData>
  <sheetProtection algorithmName="SHA-512" hashValue="deTvqQbnqjlnqUGJ66ZFp/30RN5Fo9H7THixoSmsqmf8yupwVrCCwC7gi62AAZMFAOsC0jaeSKePlS1Pl2v5Hw==" saltValue="8SmsYDJqrQrkbQ0GoHhJn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Fiche GT</vt:lpstr>
      <vt:lpstr>Fiche PRO</vt:lpstr>
      <vt:lpstr>Base_lyc</vt:lpstr>
      <vt:lpstr>Extract_R__18_08_26</vt:lpstr>
      <vt:lpstr>'Fiche GT'!Zone_d_impression</vt:lpstr>
      <vt:lpstr>'Fiche PRO'!Zone_d_impression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iioet_lrossignol</dc:creator>
  <cp:lastModifiedBy>Michel MAES</cp:lastModifiedBy>
  <cp:lastPrinted>2026-08-18T22:57:35Z</cp:lastPrinted>
  <dcterms:created xsi:type="dcterms:W3CDTF">2009-10-09T10:01:11Z</dcterms:created>
  <dcterms:modified xsi:type="dcterms:W3CDTF">2026-08-23T22:33:29Z</dcterms:modified>
</cp:coreProperties>
</file>