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EP_Interne\INDICATEURS\Tableaux de bord 2023\"/>
    </mc:Choice>
  </mc:AlternateContent>
  <bookViews>
    <workbookView xWindow="79950" yWindow="0" windowWidth="19200" windowHeight="9030" tabRatio="778"/>
  </bookViews>
  <sheets>
    <sheet name="Fiche GT" sheetId="139" r:id="rId1"/>
    <sheet name="Fiche PRO" sheetId="153" r:id="rId2"/>
    <sheet name="Base_lyc" sheetId="154" r:id="rId3"/>
  </sheets>
  <externalReferences>
    <externalReference r:id="rId4"/>
  </externalReferences>
  <definedNames>
    <definedName name="_xlnm._FilterDatabase" localSheetId="2" hidden="1">Base_lyc!$A$15:$BZ$30</definedName>
    <definedName name="abs_coll_av">#REF!</definedName>
    <definedName name="abs_coll_av_eff" localSheetId="0">#REF!</definedName>
    <definedName name="abs_coll_av_eff" localSheetId="1">#REF!</definedName>
    <definedName name="abs_coll_av_eff">#REF!</definedName>
    <definedName name="Abs_coll_avc_eff" localSheetId="0">#REF!</definedName>
    <definedName name="Abs_coll_avc_eff" localSheetId="1">#REF!</definedName>
    <definedName name="Abs_coll_avc_eff">#REF!</definedName>
    <definedName name="absentéisme_collèges_avec_effectifs" localSheetId="0">#REF!</definedName>
    <definedName name="absentéisme_collèges_avec_effectifs" localSheetId="1">#REF!</definedName>
    <definedName name="absentéisme_collèges_avec_effectifs">#REF!</definedName>
    <definedName name="Class" localSheetId="0">#REF!</definedName>
    <definedName name="Class" localSheetId="1">#REF!</definedName>
    <definedName name="Class">#REF!</definedName>
    <definedName name="Etablissement_Code">#REF!</definedName>
    <definedName name="faits_par_étab_2015_2016" localSheetId="0">#REF!</definedName>
    <definedName name="faits_par_étab_2015_2016" localSheetId="1">#REF!</definedName>
    <definedName name="faits_par_étab_2015_2016">#REF!</definedName>
    <definedName name="ids_lp_2015_2016" localSheetId="0">#REF!</definedName>
    <definedName name="ids_lp_2015_2016" localSheetId="1">#REF!</definedName>
    <definedName name="ids_lp_2015_2016">#REF!</definedName>
    <definedName name="ids_lycées_publics" localSheetId="0">#REF!</definedName>
    <definedName name="ids_lycées_publics" localSheetId="1">#REF!</definedName>
    <definedName name="ids_lycées_publics">#REF!</definedName>
    <definedName name="LP_abs1516" localSheetId="0">#REF!</definedName>
    <definedName name="LP_abs1516" localSheetId="1">#REF!</definedName>
    <definedName name="LP_abs1516">#REF!</definedName>
    <definedName name="lp_absentéisme_2015_2016" localSheetId="0">#REF!</definedName>
    <definedName name="lp_absentéisme_2015_2016" localSheetId="1">#REF!</definedName>
    <definedName name="lp_absentéisme_2015_2016">#REF!</definedName>
    <definedName name="lycées_absentéisme_2015_2016" localSheetId="0">#REF!</definedName>
    <definedName name="lycées_absentéisme_2015_2016" localSheetId="1">#REF!</definedName>
    <definedName name="lycées_absentéisme_2015_2016">#REF!</definedName>
    <definedName name="Moyenne_CCF_par_Etab" localSheetId="0">#REF!</definedName>
    <definedName name="Moyenne_CCF_par_Etab" localSheetId="1">#REF!</definedName>
    <definedName name="Moyenne_CCF_par_Etab">#REF!</definedName>
    <definedName name="moyenne_ccf_par_étab" localSheetId="0">#REF!</definedName>
    <definedName name="moyenne_ccf_par_étab" localSheetId="1">#REF!</definedName>
    <definedName name="moyenne_ccf_par_étab">#REF!</definedName>
    <definedName name="moyenne_ep_par_étab" localSheetId="0">#REF!</definedName>
    <definedName name="moyenne_ep_par_étab" localSheetId="1">#REF!</definedName>
    <definedName name="moyenne_ep_par_étab">#REF!</definedName>
    <definedName name="nuages" localSheetId="0">#REF!</definedName>
    <definedName name="nuages" localSheetId="1">#REF!</definedName>
    <definedName name="nuages">#REF!</definedName>
    <definedName name="_xlnm.Print_Area" localSheetId="0">'Fiche GT'!$A$1:$I$142</definedName>
    <definedName name="_xlnm.Print_Area" localSheetId="1">'Fiche PRO'!$A$1:$I$141</definedName>
  </definedNames>
  <calcPr calcId="162913"/>
  <fileRecoveryPr autoRecover="0"/>
</workbook>
</file>

<file path=xl/calcChain.xml><?xml version="1.0" encoding="utf-8"?>
<calcChain xmlns="http://schemas.openxmlformats.org/spreadsheetml/2006/main">
  <c r="BT15" i="154" l="1"/>
  <c r="F27" i="139" l="1"/>
  <c r="E27" i="139"/>
  <c r="D27" i="139"/>
  <c r="B3" i="153" l="1"/>
  <c r="G49" i="153" l="1"/>
  <c r="F49" i="153"/>
  <c r="G48" i="153"/>
  <c r="I49" i="153"/>
  <c r="I48" i="153"/>
  <c r="F48" i="153"/>
  <c r="S116" i="153"/>
  <c r="I46" i="153"/>
  <c r="G46" i="153"/>
  <c r="F46" i="153"/>
  <c r="I77" i="153"/>
  <c r="G76" i="153"/>
  <c r="F75" i="153"/>
  <c r="G75" i="153"/>
  <c r="G77" i="153"/>
  <c r="F76" i="153"/>
  <c r="I74" i="153"/>
  <c r="F74" i="153"/>
  <c r="F77" i="153"/>
  <c r="I75" i="153"/>
  <c r="G74" i="153"/>
  <c r="I76" i="153"/>
  <c r="N116" i="153"/>
  <c r="R116" i="153"/>
  <c r="L116" i="153"/>
  <c r="P116" i="153"/>
  <c r="M116" i="153"/>
  <c r="Q116" i="153"/>
  <c r="K116" i="153"/>
  <c r="O116" i="153"/>
  <c r="G27" i="153" l="1"/>
  <c r="E27" i="153"/>
  <c r="F27" i="153"/>
  <c r="D27" i="153"/>
  <c r="B3" i="139" l="1"/>
  <c r="S116" i="139" l="1"/>
  <c r="G48" i="139"/>
  <c r="F48" i="139"/>
  <c r="F49" i="139"/>
  <c r="I48" i="139"/>
  <c r="G49" i="139"/>
  <c r="I49" i="139"/>
  <c r="F46" i="139"/>
  <c r="G46" i="139"/>
  <c r="I46" i="139"/>
  <c r="I79" i="139"/>
  <c r="G78" i="139"/>
  <c r="F77" i="139"/>
  <c r="G79" i="139"/>
  <c r="G77" i="139"/>
  <c r="F78" i="139"/>
  <c r="I76" i="139"/>
  <c r="F79" i="139"/>
  <c r="I77" i="139"/>
  <c r="G76" i="139"/>
  <c r="I78" i="139"/>
  <c r="F76" i="139"/>
  <c r="P116" i="139"/>
  <c r="L116" i="139"/>
  <c r="N116" i="139"/>
  <c r="M116" i="139"/>
  <c r="O116" i="139"/>
  <c r="K116" i="139"/>
  <c r="Q116" i="139"/>
  <c r="R116" i="139"/>
  <c r="G104" i="153"/>
  <c r="K68" i="139"/>
  <c r="K52" i="139"/>
  <c r="K98" i="139"/>
  <c r="F105" i="139"/>
  <c r="I104" i="139"/>
  <c r="I105" i="139"/>
  <c r="H104" i="139"/>
  <c r="H105" i="139"/>
  <c r="I91" i="139"/>
  <c r="H103" i="139"/>
  <c r="F104" i="139"/>
  <c r="G104" i="139"/>
  <c r="F93" i="139"/>
  <c r="H88" i="139"/>
  <c r="G93" i="139"/>
  <c r="F92" i="139"/>
  <c r="F94" i="139"/>
  <c r="G92" i="139"/>
  <c r="G94" i="139"/>
  <c r="F21" i="139"/>
  <c r="D28" i="139" s="1"/>
  <c r="I21" i="139"/>
  <c r="F28" i="139" s="1"/>
  <c r="G75" i="139"/>
  <c r="F43" i="139"/>
  <c r="G44" i="139"/>
  <c r="I45" i="139"/>
  <c r="F62" i="139"/>
  <c r="G64" i="139"/>
  <c r="I89" i="139"/>
  <c r="F91" i="139"/>
  <c r="E22" i="139"/>
  <c r="G22" i="139"/>
  <c r="G61" i="139"/>
  <c r="I42" i="139"/>
  <c r="F44" i="139"/>
  <c r="G45" i="139"/>
  <c r="I47" i="139"/>
  <c r="F64" i="139"/>
  <c r="H89" i="139"/>
  <c r="I90" i="139"/>
  <c r="F3" i="139"/>
  <c r="F22" i="139"/>
  <c r="I22" i="139"/>
  <c r="F42" i="139"/>
  <c r="G43" i="139"/>
  <c r="I44" i="139"/>
  <c r="F47" i="139"/>
  <c r="G62" i="139"/>
  <c r="I64" i="139"/>
  <c r="F90" i="139"/>
  <c r="H91" i="139"/>
  <c r="E21" i="139"/>
  <c r="C28" i="139" s="1"/>
  <c r="G21" i="139"/>
  <c r="E28" i="139" s="1"/>
  <c r="G41" i="139"/>
  <c r="G42" i="139"/>
  <c r="I43" i="139"/>
  <c r="F45" i="139"/>
  <c r="G47" i="139"/>
  <c r="I62" i="139"/>
  <c r="F89" i="139"/>
  <c r="H90" i="139"/>
  <c r="H105" i="153" l="1"/>
  <c r="I43" i="153"/>
  <c r="F44" i="153"/>
  <c r="F63" i="153"/>
  <c r="F94" i="153"/>
  <c r="G41" i="153"/>
  <c r="G44" i="153"/>
  <c r="F47" i="153"/>
  <c r="F22" i="153"/>
  <c r="E28" i="153" s="1"/>
  <c r="I89" i="153"/>
  <c r="I105" i="153"/>
  <c r="F23" i="153"/>
  <c r="I91" i="153"/>
  <c r="G42" i="153"/>
  <c r="H91" i="153"/>
  <c r="I23" i="153"/>
  <c r="E23" i="153"/>
  <c r="I22" i="153"/>
  <c r="G28" i="153" s="1"/>
  <c r="F45" i="153"/>
  <c r="G93" i="153"/>
  <c r="F92" i="153"/>
  <c r="I45" i="153"/>
  <c r="F91" i="153"/>
  <c r="G47" i="153"/>
  <c r="I47" i="153"/>
  <c r="F42" i="153"/>
  <c r="G61" i="153"/>
  <c r="F93" i="153"/>
  <c r="I104" i="153"/>
  <c r="E22" i="153"/>
  <c r="D28" i="153" s="1"/>
  <c r="G23" i="153"/>
  <c r="G73" i="153"/>
  <c r="I61" i="153"/>
  <c r="I42" i="153"/>
  <c r="H103" i="153"/>
  <c r="F61" i="153"/>
  <c r="G92" i="153"/>
  <c r="F89" i="153"/>
  <c r="H89" i="153"/>
  <c r="G43" i="153"/>
  <c r="I63" i="153"/>
  <c r="F104" i="153"/>
  <c r="F105" i="153"/>
  <c r="G22" i="153"/>
  <c r="F28" i="153" s="1"/>
  <c r="G60" i="153"/>
  <c r="F3" i="153"/>
  <c r="H90" i="153"/>
  <c r="G45" i="153"/>
  <c r="F43" i="153"/>
  <c r="G63" i="153"/>
  <c r="G94" i="153"/>
  <c r="H88" i="153"/>
  <c r="I90" i="153"/>
  <c r="I44" i="153"/>
  <c r="F90" i="153"/>
  <c r="H104" i="153"/>
</calcChain>
</file>

<file path=xl/sharedStrings.xml><?xml version="1.0" encoding="utf-8"?>
<sst xmlns="http://schemas.openxmlformats.org/spreadsheetml/2006/main" count="853" uniqueCount="329">
  <si>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</si>
  <si>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</si>
  <si>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</si>
  <si>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</si>
  <si>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</si>
  <si>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</si>
  <si>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</si>
  <si>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</si>
  <si>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</si>
  <si>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</si>
  <si>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VA</t>
  </si>
  <si>
    <t>Taux d'accès plus performant</t>
  </si>
  <si>
    <t>-</t>
  </si>
  <si>
    <t>CPE :</t>
  </si>
  <si>
    <t>Gestionnaire :</t>
  </si>
  <si>
    <t>Effectifs d'élèves</t>
  </si>
  <si>
    <t>Effectifs d'élèves de niveau lycée PRO</t>
  </si>
  <si>
    <t>Etablissement</t>
  </si>
  <si>
    <t>Public</t>
  </si>
  <si>
    <t>Identification</t>
  </si>
  <si>
    <t xml:space="preserve">Nombre d'heures d'enseignement devant élèves, 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</si>
  <si>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</si>
  <si>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</si>
  <si>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</si>
  <si>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</si>
  <si>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</si>
  <si>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Tél :</t>
  </si>
  <si>
    <t>Fax :</t>
  </si>
  <si>
    <t>Courriel :</t>
  </si>
  <si>
    <t>Nouméa</t>
  </si>
  <si>
    <t>Quartier :</t>
  </si>
  <si>
    <t>Commune :</t>
  </si>
  <si>
    <t>H/E</t>
  </si>
  <si>
    <t>% d'enseignants titulaires</t>
  </si>
  <si>
    <t>E/D*</t>
  </si>
  <si>
    <t>9830003L</t>
  </si>
  <si>
    <t>Nouville</t>
  </si>
  <si>
    <t>34-35-55</t>
  </si>
  <si>
    <t>27-76-46</t>
  </si>
  <si>
    <t>ce.9830003l@ac-noumea.nc</t>
  </si>
  <si>
    <t>M. Michel LEHOULLIER</t>
  </si>
  <si>
    <t>Proviseur :</t>
  </si>
  <si>
    <t>Proviseurs adjoints :</t>
  </si>
  <si>
    <t>Chefs de travaux</t>
  </si>
  <si>
    <t>Effectifs d'élèves de niveau lycée GT</t>
  </si>
  <si>
    <t>Effectifs d'élèves de niveau post-bac</t>
  </si>
  <si>
    <t>Proportion d'élèves en retard à l'entrée en 2nde (%)</t>
  </si>
  <si>
    <t>par élève - niveau lycée GT (H/E)</t>
  </si>
  <si>
    <t>Nombre d'élèves par division - niveau lycée GT (E/D)</t>
  </si>
  <si>
    <t>Taux de réussite au BTS (%)</t>
  </si>
  <si>
    <t>Taux d'accès de la 2nde au Bac GT (%)</t>
  </si>
  <si>
    <t>Taux d'accès de la 1ère au Bac GT (%)</t>
  </si>
  <si>
    <t>Taux d'accès de la Term. au Bac GT (%)</t>
  </si>
  <si>
    <t>% élèves en retard en 2nde*</t>
  </si>
  <si>
    <t>Taux de passage 2nde GT/1ère G</t>
  </si>
  <si>
    <t>Taux de redoublement 2nde*</t>
  </si>
  <si>
    <t>9830270B</t>
  </si>
  <si>
    <t>9830271C</t>
  </si>
  <si>
    <t>9830006P</t>
  </si>
  <si>
    <t>9830269A</t>
  </si>
  <si>
    <t>9830272D</t>
  </si>
  <si>
    <t>9830273E</t>
  </si>
  <si>
    <t>9830294C</t>
  </si>
  <si>
    <t>9830299H</t>
  </si>
  <si>
    <t>9830306R</t>
  </si>
  <si>
    <t>9830377T</t>
  </si>
  <si>
    <t>9830401U</t>
  </si>
  <si>
    <t>9830460H</t>
  </si>
  <si>
    <t>9830483H</t>
  </si>
  <si>
    <t>9830002K</t>
  </si>
  <si>
    <t>9830261S</t>
  </si>
  <si>
    <t>9830504F</t>
  </si>
  <si>
    <t>9830507J</t>
  </si>
  <si>
    <t>9830557N</t>
  </si>
  <si>
    <t>9830635Y</t>
  </si>
  <si>
    <t>9830693L</t>
  </si>
  <si>
    <t>Privé</t>
  </si>
  <si>
    <t>Secteur (PU / PR)</t>
  </si>
  <si>
    <t>Appellation - Sigle</t>
  </si>
  <si>
    <t>Commune</t>
  </si>
  <si>
    <t xml:space="preserve">LGT           </t>
  </si>
  <si>
    <t xml:space="preserve">LPO           </t>
  </si>
  <si>
    <t xml:space="preserve">LP            </t>
  </si>
  <si>
    <t xml:space="preserve">LGT PR        </t>
  </si>
  <si>
    <t xml:space="preserve">LP PR         </t>
  </si>
  <si>
    <t xml:space="preserve">LPO PR        </t>
  </si>
  <si>
    <t>Poindimié</t>
  </si>
  <si>
    <t>Mont-Dore</t>
  </si>
  <si>
    <t>Païta</t>
  </si>
  <si>
    <t>Bourail</t>
  </si>
  <si>
    <t>Houaïlou</t>
  </si>
  <si>
    <t>Pouébo</t>
  </si>
  <si>
    <t>Lifou</t>
  </si>
  <si>
    <t>Touho</t>
  </si>
  <si>
    <t>Dumbéa</t>
  </si>
  <si>
    <t>Pouembout</t>
  </si>
  <si>
    <t>RNE + dénomination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</si>
  <si>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</si>
  <si>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</si>
  <si>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</si>
  <si>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</si>
  <si>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</si>
  <si>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</si>
  <si>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</si>
  <si>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</si>
  <si>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</si>
  <si>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</si>
  <si>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</si>
  <si>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</si>
  <si>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</si>
  <si>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</si>
  <si>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</si>
  <si>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</si>
  <si>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</si>
  <si>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</si>
  <si>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</si>
  <si>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</si>
  <si>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</si>
  <si>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</si>
  <si>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</si>
  <si>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</si>
  <si>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</si>
  <si>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</si>
  <si>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</si>
  <si>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</si>
  <si>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</si>
  <si>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</si>
  <si>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</si>
  <si>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</si>
  <si>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t>9830002K : Lycée La Pérouse</t>
  </si>
  <si>
    <t>9830003L : Lycée polyvalent Jules Garnier</t>
  </si>
  <si>
    <t>9830006P : Lycee professionnel, commercial et hôtelier Auguste Escoffier</t>
  </si>
  <si>
    <t>9830261S : Lycée privé Blaise Pascal (DDEC)</t>
  </si>
  <si>
    <t>9830269A : Lycée professionnel privé Saint Joseph de Cluny (DDEC)</t>
  </si>
  <si>
    <t>9830270B : Lycée professionnel privé Saint Jean 23 (DDEC)</t>
  </si>
  <si>
    <t>9830271C : Lycée professionnel privé Marcellin Champagnat (DDEC)</t>
  </si>
  <si>
    <t>9830272D : Lycée professionnel privé François d'Assise  (DDEC)</t>
  </si>
  <si>
    <t>9830273E : Lycée professionnel privé Gabriel Rivat (DDEC)</t>
  </si>
  <si>
    <t>9830294C : Lycée professionnel privé Père Guéneau (DDEC)</t>
  </si>
  <si>
    <t>9830299H : Lycée professionnel privé Johanna Vakie (DDEC)</t>
  </si>
  <si>
    <t>9830306R : lycee professionnel Petro Attiti</t>
  </si>
  <si>
    <t>9830377T : Lycee polyvalent privé Do Kamo (ASEE)</t>
  </si>
  <si>
    <t>9830401U : Lycée professionnel privé Saint Pierre Chanel (DDEC)</t>
  </si>
  <si>
    <t>9830460H : Lycée professionnel Augustin Ty</t>
  </si>
  <si>
    <t>9830483H : Lycée polyvalent Williama Haudra</t>
  </si>
  <si>
    <t>9830504F : Lycée privé Apollinaire Anova (DDEC)</t>
  </si>
  <si>
    <t xml:space="preserve">9830507J : Lycée Antoine Kela                  </t>
  </si>
  <si>
    <t>9830557N : Lycée du Grand Nouméa</t>
  </si>
  <si>
    <t>9830693L : Lycée polyvalent du Mont-Dore</t>
  </si>
  <si>
    <t>9830635Y : Lycée agricole et général Michel Rocard</t>
  </si>
  <si>
    <t>eff_niv_lyc_2012</t>
  </si>
  <si>
    <t>eff_postbac_2012</t>
  </si>
  <si>
    <t>red2nde_etab</t>
  </si>
  <si>
    <t>red2nde_sec</t>
  </si>
  <si>
    <t>red2nde_aca</t>
  </si>
  <si>
    <t>acc2nde-bac_etab</t>
  </si>
  <si>
    <t>acc1è-bac_etab</t>
  </si>
  <si>
    <t>accTle-bac_etab</t>
  </si>
  <si>
    <t>VA_bacGT_etab</t>
  </si>
  <si>
    <t>Rne</t>
  </si>
  <si>
    <t>Proportion d'élèves en retard à l'entrée en 2nde PRO (%)</t>
  </si>
  <si>
    <t>par élève - niveau lycée PRO (H/E)</t>
  </si>
  <si>
    <t>acc2nde-bac_VA</t>
  </si>
  <si>
    <t>acc1è-bac_VA</t>
  </si>
  <si>
    <t>accTle-bac_VA</t>
  </si>
  <si>
    <t>réussite_bacGT_etab</t>
  </si>
  <si>
    <t>VA_bacPRO_etab</t>
  </si>
  <si>
    <t>réussite_bacPRO_etab</t>
  </si>
  <si>
    <t>pas_2nde-1èPRO_etab</t>
  </si>
  <si>
    <t>pas_2nde-1èPRO_sec</t>
  </si>
  <si>
    <t>pas_2nde-1èPRO_aca</t>
  </si>
  <si>
    <t>pas_2nde-voie_pro_etab</t>
  </si>
  <si>
    <t>pas_2nde-voie_pro_sec</t>
  </si>
  <si>
    <t>pas_2nde-voie_pro_aca</t>
  </si>
  <si>
    <t>Taux de réussite au bac GT (%)</t>
  </si>
  <si>
    <t>Réussite_BTS_etab</t>
  </si>
  <si>
    <t>Réussite_BTS_sec</t>
  </si>
  <si>
    <t>Réussite_BTS_aca</t>
  </si>
  <si>
    <r>
      <t xml:space="preserve">Taux d'accès moins performant </t>
    </r>
    <r>
      <rPr>
        <b/>
        <sz val="8"/>
        <rFont val="Arial"/>
        <family val="2"/>
      </rPr>
      <t>(classement des établissements publics et privés)</t>
    </r>
  </si>
  <si>
    <t>Taux de réussite au bac GT</t>
  </si>
  <si>
    <t>réussite_bacGT_sec</t>
  </si>
  <si>
    <t>réussite_bacGT_aca</t>
  </si>
  <si>
    <t>réussite_bacPRO_sec</t>
  </si>
  <si>
    <t>réussite_bacPRO_aca</t>
  </si>
  <si>
    <t>Taux de passage 2de PRO/1ère PRO (%)</t>
  </si>
  <si>
    <t>Taux d'accès de la 2nde au Bac PRO (%)</t>
  </si>
  <si>
    <t>Taux d'accès de la 1ère au Bac PRO (%)</t>
  </si>
  <si>
    <t>Taux d'accès de la Term. au Bac PRO (%)</t>
  </si>
  <si>
    <t>Taux de redoublement 2nde PRO (%)</t>
  </si>
  <si>
    <t>Taux de redoublement 2nde GT (%)</t>
  </si>
  <si>
    <t>Taux de réussite au bac PRO (%)</t>
  </si>
  <si>
    <t>% élèves en retard en 2nde PRO*</t>
  </si>
  <si>
    <t>Taux de passage 2nde /1ère PRO</t>
  </si>
  <si>
    <t>Taux de redoublement 2nde PRO*</t>
  </si>
  <si>
    <t>Taux de réussite au bac PRO</t>
  </si>
  <si>
    <t>* Inversé</t>
  </si>
  <si>
    <t>Public + privé</t>
  </si>
  <si>
    <t>&lt;= Sélectionner l'établissement dans la liste déroulante (cliquer sur la flèche indiquant vers le bas)</t>
  </si>
  <si>
    <t>Taux de passage 2nde GT/1ère GT (%)</t>
  </si>
  <si>
    <t>Taux de passage 2nde GT/voie PRO (%)</t>
  </si>
  <si>
    <t>pas_2nde-1èGT_etab</t>
  </si>
  <si>
    <t>pas_2nde-1èGT_sec</t>
  </si>
  <si>
    <t>pas_2nde-1èGT_aca</t>
  </si>
  <si>
    <t>pas_2nde-CAP_etab</t>
  </si>
  <si>
    <t>pas_2nde-CAP_sec</t>
  </si>
  <si>
    <t>pas_2nde-CAP_aca</t>
  </si>
  <si>
    <t>Indice de position sociale</t>
  </si>
  <si>
    <t>Contexte scolaire</t>
  </si>
  <si>
    <t>Indice d'éloignement</t>
  </si>
  <si>
    <t>ie_etab</t>
  </si>
  <si>
    <t>ie_sec</t>
  </si>
  <si>
    <t>ie_aca</t>
  </si>
  <si>
    <t>Indice d'éloignement*</t>
  </si>
  <si>
    <t>Indice d'éloignement du collège le plus proche</t>
  </si>
  <si>
    <t>9830635Y : Lycée polyvalent Michel Rocard</t>
  </si>
  <si>
    <t>Proportion d'élèves issus de PCS défavorisées (%)</t>
  </si>
  <si>
    <t>Proportion d'élèves issus de PCS très favorisées (%)</t>
  </si>
  <si>
    <t>Indice de position sociale niveau lycée GT</t>
  </si>
  <si>
    <t>Indice de position sociale niveau lycée PRO</t>
  </si>
  <si>
    <t>eff_niv_lyc_2022</t>
  </si>
  <si>
    <t>eff_postbac_2022</t>
  </si>
  <si>
    <t>boursier_etab</t>
  </si>
  <si>
    <t>boursier_sec</t>
  </si>
  <si>
    <t>boursier_aca</t>
  </si>
  <si>
    <t>Taux de boursiers niveau lycée GT</t>
  </si>
  <si>
    <t>Taux de boursiers niveau lycée PRO</t>
  </si>
  <si>
    <t>eff_niv_lyc_2023</t>
  </si>
  <si>
    <t>eff_postbac_2023</t>
  </si>
  <si>
    <t>Taux de passage 2de PRO/CAP (%)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</si>
  <si>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</si>
  <si>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</si>
  <si>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</si>
  <si>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</si>
  <si>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</si>
  <si>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</si>
  <si>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Niveau de maîtrise* en français des élèves entrant en 2nde (%)</t>
  </si>
  <si>
    <t>Niveau de maîtrise* en mathématiques des élèves entrant en 2nde (%)</t>
  </si>
  <si>
    <t>* Maîtrise satisfaisante ou très bonne maîtrise des compétences</t>
  </si>
  <si>
    <t>eff_niv_lyc_2024</t>
  </si>
  <si>
    <t>eff_postbac_2024</t>
  </si>
  <si>
    <t>Année 2023</t>
  </si>
  <si>
    <t>Années 2022-2023</t>
  </si>
  <si>
    <t>Nombre d'élèves par division - niveau lycée PRO hors CAP (E/D)</t>
  </si>
  <si>
    <t>81</t>
  </si>
  <si>
    <t>82</t>
  </si>
  <si>
    <t>86</t>
  </si>
  <si>
    <t>68</t>
  </si>
  <si>
    <t>74</t>
  </si>
  <si>
    <t>89</t>
  </si>
  <si>
    <t>65</t>
  </si>
  <si>
    <t>70</t>
  </si>
  <si>
    <t>73</t>
  </si>
  <si>
    <t>88</t>
  </si>
  <si>
    <t>-4</t>
  </si>
  <si>
    <t>-1</t>
  </si>
  <si>
    <t>-13</t>
  </si>
  <si>
    <t>0</t>
  </si>
  <si>
    <t>-8</t>
  </si>
  <si>
    <t>-12</t>
  </si>
  <si>
    <t>-16</t>
  </si>
  <si>
    <t>+7</t>
  </si>
  <si>
    <t>87</t>
  </si>
  <si>
    <t>90</t>
  </si>
  <si>
    <t>92</t>
  </si>
  <si>
    <t>80</t>
  </si>
  <si>
    <t>94</t>
  </si>
  <si>
    <t>75</t>
  </si>
  <si>
    <t>78</t>
  </si>
  <si>
    <t>95</t>
  </si>
  <si>
    <t>-6</t>
  </si>
  <si>
    <t>-3</t>
  </si>
  <si>
    <t>-2</t>
  </si>
  <si>
    <t>-10</t>
  </si>
  <si>
    <t>-9</t>
  </si>
  <si>
    <t>+4</t>
  </si>
  <si>
    <t>93</t>
  </si>
  <si>
    <t>98</t>
  </si>
  <si>
    <t>84</t>
  </si>
  <si>
    <t>85</t>
  </si>
  <si>
    <t>100</t>
  </si>
  <si>
    <t>-7</t>
  </si>
  <si>
    <t>+5</t>
  </si>
  <si>
    <t>-11</t>
  </si>
  <si>
    <t>-14</t>
  </si>
  <si>
    <t>+1</t>
  </si>
  <si>
    <t>-15</t>
  </si>
  <si>
    <t>+2</t>
  </si>
  <si>
    <t>-24</t>
  </si>
  <si>
    <t>-22</t>
  </si>
  <si>
    <t>-21</t>
  </si>
  <si>
    <t>-19</t>
  </si>
  <si>
    <t>-25</t>
  </si>
  <si>
    <t>ND</t>
  </si>
  <si>
    <t>-5</t>
  </si>
  <si>
    <t>+8</t>
  </si>
  <si>
    <t>58</t>
  </si>
  <si>
    <t>40</t>
  </si>
  <si>
    <t>11</t>
  </si>
  <si>
    <t>45</t>
  </si>
  <si>
    <t>63</t>
  </si>
  <si>
    <t>47</t>
  </si>
  <si>
    <t>56</t>
  </si>
  <si>
    <t>60</t>
  </si>
  <si>
    <t>61</t>
  </si>
  <si>
    <t>38</t>
  </si>
  <si>
    <t>42</t>
  </si>
  <si>
    <t>59</t>
  </si>
  <si>
    <t>-40</t>
  </si>
  <si>
    <t>-23</t>
  </si>
  <si>
    <t>+6</t>
  </si>
  <si>
    <t>50</t>
  </si>
  <si>
    <t>32</t>
  </si>
  <si>
    <t>53</t>
  </si>
  <si>
    <t>77</t>
  </si>
  <si>
    <t>54</t>
  </si>
  <si>
    <t>66</t>
  </si>
  <si>
    <t>69</t>
  </si>
  <si>
    <t>52</t>
  </si>
  <si>
    <t>71</t>
  </si>
  <si>
    <t>67</t>
  </si>
  <si>
    <t>62</t>
  </si>
  <si>
    <t>-32</t>
  </si>
  <si>
    <t>-18</t>
  </si>
  <si>
    <t>64</t>
  </si>
  <si>
    <t>-17</t>
  </si>
  <si>
    <t>+11</t>
  </si>
  <si>
    <t>-20</t>
  </si>
  <si>
    <t>+12</t>
  </si>
  <si>
    <t>9830557N : Lycée Dick Ukeiwë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</si>
</sst>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#,##0.0"/>
  </numFmts>
  <fonts count="5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MS Sans Serif"/>
    </font>
    <font>
      <u/>
      <sz val="10"/>
      <color theme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MS Sans Serif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40" fillId="0" borderId="0" xfId="0" applyFont="1" applyFill="1"/>
    <xf numFmtId="0" fontId="9" fillId="0" borderId="0" xfId="0" applyFont="1"/>
    <xf numFmtId="0" fontId="41" fillId="0" borderId="0" xfId="0" applyFont="1" applyAlignment="1">
      <alignment horizontal="left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1" fillId="0" borderId="0" xfId="0" applyFont="1" applyAlignment="1">
      <alignment vertical="top"/>
    </xf>
    <xf numFmtId="0" fontId="9" fillId="0" borderId="0" xfId="0" applyFont="1" applyFill="1"/>
    <xf numFmtId="0" fontId="43" fillId="0" borderId="0" xfId="65" applyFont="1"/>
    <xf numFmtId="0" fontId="41" fillId="0" borderId="0" xfId="0" applyFont="1" applyAlignment="1">
      <alignment vertical="center"/>
    </xf>
    <xf numFmtId="0" fontId="44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left" indent="5"/>
    </xf>
    <xf numFmtId="0" fontId="9" fillId="0" borderId="0" xfId="0" applyFont="1" applyAlignment="1">
      <alignment horizontal="left" indent="5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/>
    <xf numFmtId="0" fontId="9" fillId="24" borderId="0" xfId="0" applyFont="1" applyFill="1"/>
    <xf numFmtId="165" fontId="9" fillId="0" borderId="0" xfId="0" applyNumberFormat="1" applyFont="1"/>
    <xf numFmtId="0" fontId="9" fillId="0" borderId="0" xfId="0" applyFont="1" applyFill="1" applyAlignment="1">
      <alignment wrapText="1"/>
    </xf>
    <xf numFmtId="0" fontId="33" fillId="0" borderId="0" xfId="0" applyFont="1"/>
    <xf numFmtId="0" fontId="40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40" fillId="0" borderId="0" xfId="0" applyNumberFormat="1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4" borderId="0" xfId="0" applyFont="1" applyFill="1" applyAlignment="1">
      <alignment wrapText="1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3" fontId="40" fillId="0" borderId="0" xfId="0" applyNumberFormat="1" applyFont="1"/>
    <xf numFmtId="165" fontId="9" fillId="0" borderId="0" xfId="0" quotePrefix="1" applyNumberFormat="1" applyFont="1" applyAlignment="1">
      <alignment horizontal="center"/>
    </xf>
    <xf numFmtId="165" fontId="46" fillId="0" borderId="0" xfId="0" applyNumberFormat="1" applyFont="1" applyAlignment="1">
      <alignment horizontal="center"/>
    </xf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/>
    </xf>
    <xf numFmtId="165" fontId="40" fillId="0" borderId="0" xfId="0" applyNumberFormat="1" applyFont="1" applyFill="1" applyAlignment="1">
      <alignment horizontal="center"/>
    </xf>
    <xf numFmtId="0" fontId="10" fillId="0" borderId="12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47" fillId="0" borderId="0" xfId="0" applyFont="1"/>
    <xf numFmtId="0" fontId="37" fillId="24" borderId="0" xfId="0" applyFont="1" applyFill="1"/>
    <xf numFmtId="0" fontId="45" fillId="24" borderId="0" xfId="0" applyFont="1" applyFill="1"/>
    <xf numFmtId="2" fontId="9" fillId="0" borderId="0" xfId="0" applyNumberFormat="1" applyFont="1"/>
    <xf numFmtId="0" fontId="9" fillId="0" borderId="0" xfId="0" applyFont="1" applyFill="1" applyAlignment="1">
      <alignment horizontal="right"/>
    </xf>
    <xf numFmtId="0" fontId="9" fillId="0" borderId="0" xfId="0" quotePrefix="1" applyFont="1" applyFill="1" applyAlignment="1">
      <alignment horizontal="right"/>
    </xf>
    <xf numFmtId="0" fontId="0" fillId="0" borderId="0" xfId="0" applyFill="1" applyAlignment="1">
      <alignment horizontal="right"/>
    </xf>
    <xf numFmtId="0" fontId="9" fillId="24" borderId="0" xfId="0" quotePrefix="1" applyFont="1" applyFill="1" applyAlignment="1">
      <alignment horizontal="right"/>
    </xf>
    <xf numFmtId="0" fontId="46" fillId="0" borderId="0" xfId="0" applyFont="1" applyFill="1"/>
    <xf numFmtId="0" fontId="10" fillId="0" borderId="1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9" fillId="0" borderId="12" xfId="0" quotePrefix="1" applyFont="1" applyFill="1" applyBorder="1" applyAlignment="1">
      <alignment horizontal="center"/>
    </xf>
    <xf numFmtId="165" fontId="9" fillId="0" borderId="12" xfId="0" quotePrefix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165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165" fontId="9" fillId="29" borderId="12" xfId="0" applyNumberFormat="1" applyFont="1" applyFill="1" applyBorder="1" applyAlignment="1">
      <alignment horizontal="center"/>
    </xf>
    <xf numFmtId="0" fontId="9" fillId="29" borderId="12" xfId="0" quotePrefix="1" applyFont="1" applyFill="1" applyBorder="1" applyAlignment="1">
      <alignment horizontal="center"/>
    </xf>
    <xf numFmtId="165" fontId="9" fillId="29" borderId="12" xfId="0" quotePrefix="1" applyNumberFormat="1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5" fillId="0" borderId="0" xfId="0" applyFont="1" applyFill="1" applyAlignment="1">
      <alignment horizontal="right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45" fillId="0" borderId="0" xfId="0" applyFont="1" applyFill="1"/>
    <xf numFmtId="165" fontId="45" fillId="0" borderId="0" xfId="0" applyNumberFormat="1" applyFont="1" applyFill="1" applyAlignment="1">
      <alignment horizontal="right"/>
    </xf>
    <xf numFmtId="0" fontId="45" fillId="0" borderId="0" xfId="0" quotePrefix="1" applyFont="1" applyFill="1" applyAlignment="1">
      <alignment horizontal="right"/>
    </xf>
    <xf numFmtId="165" fontId="45" fillId="0" borderId="0" xfId="0" quotePrefix="1" applyNumberFormat="1" applyFont="1" applyFill="1" applyAlignment="1">
      <alignment horizontal="right"/>
    </xf>
    <xf numFmtId="165" fontId="45" fillId="24" borderId="0" xfId="0" applyNumberFormat="1" applyFont="1" applyFill="1" applyAlignment="1">
      <alignment horizontal="right"/>
    </xf>
    <xf numFmtId="0" fontId="45" fillId="24" borderId="0" xfId="0" quotePrefix="1" applyFont="1" applyFill="1" applyAlignment="1">
      <alignment horizontal="right"/>
    </xf>
    <xf numFmtId="165" fontId="45" fillId="24" borderId="0" xfId="0" quotePrefix="1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9" fillId="24" borderId="0" xfId="0" applyNumberFormat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2" fontId="9" fillId="24" borderId="0" xfId="0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0" fontId="9" fillId="24" borderId="0" xfId="0" quotePrefix="1" applyNumberFormat="1" applyFont="1" applyFill="1" applyAlignment="1">
      <alignment horizontal="right"/>
    </xf>
    <xf numFmtId="165" fontId="9" fillId="24" borderId="0" xfId="0" applyNumberFormat="1" applyFont="1" applyFill="1" applyAlignment="1">
      <alignment horizontal="right"/>
    </xf>
    <xf numFmtId="165" fontId="9" fillId="0" borderId="0" xfId="0" applyNumberFormat="1" applyFont="1" applyFill="1"/>
    <xf numFmtId="0" fontId="10" fillId="0" borderId="12" xfId="0" applyFont="1" applyFill="1" applyBorder="1" applyAlignment="1">
      <alignment horizontal="center"/>
    </xf>
    <xf numFmtId="0" fontId="9" fillId="24" borderId="0" xfId="0" applyFont="1" applyFill="1" applyAlignment="1">
      <alignment horizontal="right"/>
    </xf>
    <xf numFmtId="0" fontId="48" fillId="0" borderId="0" xfId="0" applyFont="1" applyFill="1" applyAlignment="1">
      <alignment horizontal="center" wrapText="1"/>
    </xf>
    <xf numFmtId="0" fontId="49" fillId="0" borderId="0" xfId="0" applyFont="1" applyFill="1" applyAlignment="1">
      <alignment horizontal="center" wrapText="1"/>
    </xf>
    <xf numFmtId="0" fontId="48" fillId="0" borderId="0" xfId="0" applyFont="1" applyFill="1"/>
    <xf numFmtId="165" fontId="48" fillId="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right"/>
    </xf>
    <xf numFmtId="0" fontId="49" fillId="0" borderId="0" xfId="0" applyFont="1" applyFill="1" applyAlignment="1">
      <alignment horizontal="right"/>
    </xf>
    <xf numFmtId="165" fontId="48" fillId="0" borderId="0" xfId="0" quotePrefix="1" applyNumberFormat="1" applyFont="1" applyFill="1" applyAlignment="1">
      <alignment horizontal="center"/>
    </xf>
    <xf numFmtId="0" fontId="48" fillId="0" borderId="0" xfId="0" applyFont="1"/>
    <xf numFmtId="0" fontId="9" fillId="0" borderId="12" xfId="0" applyFont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9" fillId="24" borderId="0" xfId="0" applyNumberFormat="1" applyFont="1" applyFill="1"/>
    <xf numFmtId="0" fontId="38" fillId="0" borderId="0" xfId="0" applyFont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44" fillId="26" borderId="0" xfId="0" quotePrefix="1" applyFont="1" applyFill="1" applyAlignment="1">
      <alignment horizontal="center" vertical="center"/>
    </xf>
    <xf numFmtId="0" fontId="44" fillId="26" borderId="0" xfId="0" applyFont="1" applyFill="1" applyAlignment="1">
      <alignment horizontal="center" vertical="center"/>
    </xf>
    <xf numFmtId="0" fontId="44" fillId="27" borderId="0" xfId="0" quotePrefix="1" applyFont="1" applyFill="1" applyAlignment="1">
      <alignment horizontal="center" vertical="center"/>
    </xf>
    <xf numFmtId="0" fontId="44" fillId="27" borderId="0" xfId="0" applyFont="1" applyFill="1" applyAlignment="1">
      <alignment horizontal="center" vertical="center"/>
    </xf>
    <xf numFmtId="0" fontId="44" fillId="28" borderId="0" xfId="0" quotePrefix="1" applyFont="1" applyFill="1" applyAlignment="1">
      <alignment horizontal="center" vertical="center"/>
    </xf>
    <xf numFmtId="0" fontId="44" fillId="28" borderId="0" xfId="0" applyFont="1" applyFill="1" applyAlignment="1">
      <alignment horizontal="center" vertic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5" fontId="9" fillId="0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2" fontId="9" fillId="0" borderId="17" xfId="0" applyNumberFormat="1" applyFont="1" applyFill="1" applyBorder="1" applyAlignment="1">
      <alignment horizontal="center" vertical="center"/>
    </xf>
    <xf numFmtId="2" fontId="9" fillId="0" borderId="16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</cellXfs>
  <cellStyles count="72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Lien hypertexte" xfId="65" builtinId="8"/>
    <cellStyle name="Milliers 2" xfId="50"/>
    <cellStyle name="Milliers 3" xfId="70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6"/>
    <cellStyle name="Normal 18" xfId="69"/>
    <cellStyle name="Normal 2" xfId="32"/>
    <cellStyle name="Normal 2 2" xfId="48"/>
    <cellStyle name="Normal 2 3" xfId="68"/>
    <cellStyle name="Normal 3" xfId="44"/>
    <cellStyle name="Normal 3 2" xfId="67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1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GT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GT'!$C$27:$F$27</c:f>
              <c:numCache>
                <c:formatCode>General</c:formatCode>
                <c:ptCount val="4"/>
                <c:pt idx="0">
                  <c:v>2012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'Fiche GT'!$C$28:$F$28</c:f>
              <c:numCache>
                <c:formatCode>#,##0</c:formatCode>
                <c:ptCount val="4"/>
                <c:pt idx="0">
                  <c:v>307</c:v>
                </c:pt>
                <c:pt idx="1">
                  <c:v>223</c:v>
                </c:pt>
                <c:pt idx="2">
                  <c:v>215</c:v>
                </c:pt>
                <c:pt idx="3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8-4BC0-AF95-0B46D13C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775616"/>
        <c:axId val="299902080"/>
      </c:barChart>
      <c:catAx>
        <c:axId val="1377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9902080"/>
        <c:crosses val="autoZero"/>
        <c:auto val="1"/>
        <c:lblAlgn val="ctr"/>
        <c:lblOffset val="100"/>
        <c:noMultiLvlLbl val="0"/>
      </c:catAx>
      <c:valAx>
        <c:axId val="2999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77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DE7-4820-9084-98EF055F1B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DE7-4820-9084-98EF055F1B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DE7-4820-9084-98EF055F1BD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0DE7-4820-9084-98EF055F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4768"/>
        <c:axId val="140105344"/>
      </c:scatterChart>
      <c:valAx>
        <c:axId val="1401047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105344"/>
        <c:crosses val="autoZero"/>
        <c:crossBetween val="midCat"/>
        <c:majorUnit val="0.2"/>
        <c:minorUnit val="0.1"/>
      </c:valAx>
      <c:valAx>
        <c:axId val="1401053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4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632-4E8A-A611-AAB09612A0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32-4E8A-A611-AAB09612A0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632-4E8A-A611-AAB09612A02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8632-4E8A-A611-AAB09612A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353536"/>
      </c:scatterChart>
      <c:valAx>
        <c:axId val="14010707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3536"/>
        <c:crosses val="autoZero"/>
        <c:crossBetween val="midCat"/>
        <c:majorUnit val="0.2"/>
        <c:minorUnit val="0.1"/>
      </c:valAx>
      <c:valAx>
        <c:axId val="1403535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6D-42DF-84D7-6914B3332CF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A6D-42DF-84D7-6914B3332CF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A6D-42DF-84D7-6914B3332CF0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BA6D-42DF-84D7-6914B3332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5264"/>
        <c:axId val="140355840"/>
      </c:scatterChart>
      <c:valAx>
        <c:axId val="14035526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5840"/>
        <c:crosses val="autoZero"/>
        <c:crossBetween val="midCat"/>
        <c:majorUnit val="0.2"/>
        <c:minorUnit val="0.1"/>
      </c:valAx>
      <c:valAx>
        <c:axId val="140355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6E1-45F9-A5C3-AAB2BCB302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6E1-45F9-A5C3-AAB2BCB302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6E1-45F9-A5C3-AAB2BCB302DB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36E1-45F9-A5C3-AAB2BCB3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7568"/>
        <c:axId val="140358144"/>
      </c:scatterChart>
      <c:valAx>
        <c:axId val="1403575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58144"/>
        <c:crosses val="autoZero"/>
        <c:crossBetween val="midCat"/>
        <c:majorUnit val="0.2"/>
        <c:minorUnit val="0.1"/>
      </c:valAx>
      <c:valAx>
        <c:axId val="140358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7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6FE-4A73-AAE4-88B1FD254FB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6FE-4A73-AAE4-88B1FD254FB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6FE-4A73-AAE4-88B1FD254FB0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96FE-4A73-AAE4-88B1FD25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9872"/>
        <c:axId val="140360448"/>
      </c:scatterChart>
      <c:valAx>
        <c:axId val="1403598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60448"/>
        <c:crosses val="autoZero"/>
        <c:crossBetween val="midCat"/>
        <c:majorUnit val="0.2"/>
        <c:minorUnit val="0.1"/>
      </c:valAx>
      <c:valAx>
        <c:axId val="140360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A47-46ED-8C27-9550FD6A6233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A47-46ED-8C27-9550FD6A6233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A47-46ED-8C27-9550FD6A6233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6A47-46ED-8C27-9550FD6A6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5632"/>
        <c:axId val="140846208"/>
      </c:scatterChart>
      <c:valAx>
        <c:axId val="14084563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6208"/>
        <c:crosses val="autoZero"/>
        <c:crossBetween val="midCat"/>
        <c:majorUnit val="0.2"/>
        <c:minorUnit val="0.1"/>
      </c:valAx>
      <c:valAx>
        <c:axId val="140846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8.4242265925290244E-2"/>
          <c:w val="0.46708321689433918"/>
          <c:h val="0.78436922872792103"/>
        </c:manualLayout>
      </c:layout>
      <c:radarChart>
        <c:radarStyle val="marker"/>
        <c:varyColors val="0"/>
        <c:ser>
          <c:idx val="0"/>
          <c:order val="0"/>
          <c:tx>
            <c:strRef>
              <c:f>'Fiche PRO'!$B$1</c:f>
              <c:strCache>
                <c:ptCount val="1"/>
                <c:pt idx="0">
                  <c:v>9830006P : Lycee professionnel, commercial et hôtelier Auguste Escoffier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/1ère PRO</c:v>
                </c:pt>
                <c:pt idx="6">
                  <c:v>Taux de redoublement 2nde PRO*</c:v>
                </c:pt>
                <c:pt idx="7">
                  <c:v>Taux de réussite au bac PRO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PRO'!$K$116:$S$116</c:f>
              <c:numCache>
                <c:formatCode>0.0</c:formatCode>
                <c:ptCount val="9"/>
                <c:pt idx="0">
                  <c:v>2.1883324508398081</c:v>
                </c:pt>
                <c:pt idx="1">
                  <c:v>-0.75892857142856618</c:v>
                </c:pt>
                <c:pt idx="2">
                  <c:v>0.24000000000000021</c:v>
                </c:pt>
                <c:pt idx="3">
                  <c:v>-0.44585987261146459</c:v>
                </c:pt>
                <c:pt idx="4">
                  <c:v>-3.3</c:v>
                </c:pt>
                <c:pt idx="5">
                  <c:v>0.31531531531531659</c:v>
                </c:pt>
                <c:pt idx="6">
                  <c:v>0.80745341614906818</c:v>
                </c:pt>
                <c:pt idx="7">
                  <c:v>0.66666666666666663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4E2-A160-954C90C95B5E}"/>
            </c:ext>
          </c:extLst>
        </c:ser>
        <c:ser>
          <c:idx val="1"/>
          <c:order val="1"/>
          <c:tx>
            <c:strRef>
              <c:f>'Fiche PRO'!$J$117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/1ère PRO</c:v>
                </c:pt>
                <c:pt idx="6">
                  <c:v>Taux de redoublement 2nde PRO*</c:v>
                </c:pt>
                <c:pt idx="7">
                  <c:v>Taux de réussite au bac PRO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PRO'!$K$117:$S$117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0-44E2-A160-954C90C9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10592"/>
        <c:axId val="140847936"/>
      </c:radarChart>
      <c:catAx>
        <c:axId val="1409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847936"/>
        <c:crosses val="autoZero"/>
        <c:auto val="0"/>
        <c:lblAlgn val="ctr"/>
        <c:lblOffset val="100"/>
        <c:noMultiLvlLbl val="0"/>
      </c:catAx>
      <c:valAx>
        <c:axId val="140847936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9105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71207850704108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37-4B94-9010-3D5ACD0E947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37-4B94-9010-3D5ACD0E947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37-4B94-9010-3D5ACD0E9478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2737-4B94-9010-3D5ACD0E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3232"/>
        <c:axId val="299903808"/>
      </c:scatterChart>
      <c:valAx>
        <c:axId val="29990323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903808"/>
        <c:crosses val="autoZero"/>
        <c:crossBetween val="midCat"/>
        <c:majorUnit val="0.2"/>
        <c:minorUnit val="0.1"/>
      </c:valAx>
      <c:valAx>
        <c:axId val="2999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3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38-4BB6-A0F0-5184AC52CF5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38-4BB6-A0F0-5184AC52CF5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38-4BB6-A0F0-5184AC52CF50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8338-4BB6-A0F0-5184AC52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5536"/>
        <c:axId val="299906112"/>
      </c:scatterChart>
      <c:valAx>
        <c:axId val="2999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906112"/>
        <c:crosses val="autoZero"/>
        <c:crossBetween val="midCat"/>
        <c:majorUnit val="0.2"/>
        <c:minorUnit val="0.1"/>
      </c:valAx>
      <c:valAx>
        <c:axId val="2999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961-4AB1-BA79-2F98EA5B964C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961-4AB1-BA79-2F98EA5B964C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961-4AB1-BA79-2F98EA5B964C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A961-4AB1-BA79-2F98EA5B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8416"/>
        <c:axId val="299466752"/>
      </c:scatterChart>
      <c:valAx>
        <c:axId val="29990841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66752"/>
        <c:crosses val="autoZero"/>
        <c:crossBetween val="midCat"/>
        <c:majorUnit val="0.2"/>
        <c:minorUnit val="0.1"/>
      </c:valAx>
      <c:valAx>
        <c:axId val="299466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8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35-4E40-9489-4727E4DDA191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35-4E40-9489-4727E4DDA191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135-4E40-9489-4727E4DDA191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C135-4E40-9489-4727E4DD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67904"/>
        <c:axId val="299468480"/>
      </c:scatterChart>
      <c:valAx>
        <c:axId val="29946790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68480"/>
        <c:crosses val="autoZero"/>
        <c:crossBetween val="midCat"/>
        <c:majorUnit val="0.2"/>
        <c:minorUnit val="0.1"/>
      </c:valAx>
      <c:valAx>
        <c:axId val="299468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6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72F-4CBA-8B27-F6A45BB5B71D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72F-4CBA-8B27-F6A45BB5B71D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72F-4CBA-8B27-F6A45BB5B71D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472F-4CBA-8B27-F6A45BB5B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0208"/>
        <c:axId val="299470784"/>
      </c:scatterChart>
      <c:valAx>
        <c:axId val="29947020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70784"/>
        <c:crosses val="autoZero"/>
        <c:crossBetween val="midCat"/>
        <c:majorUnit val="0.2"/>
        <c:minorUnit val="0.1"/>
      </c:valAx>
      <c:valAx>
        <c:axId val="299470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B4E-4710-A71C-879B4A26E1F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4E-4710-A71C-879B4A26E1F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B4E-4710-A71C-879B4A26E1F8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3B4E-4710-A71C-879B4A26E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2512"/>
        <c:axId val="299473088"/>
      </c:scatterChart>
      <c:valAx>
        <c:axId val="29947251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73088"/>
        <c:crosses val="autoZero"/>
        <c:crossBetween val="midCat"/>
        <c:majorUnit val="0.2"/>
        <c:minorUnit val="0.1"/>
      </c:valAx>
      <c:valAx>
        <c:axId val="2994730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0.10193511909976452"/>
          <c:w val="0.48758929012310509"/>
          <c:h val="0.65130563371272099"/>
        </c:manualLayout>
      </c:layout>
      <c:radarChart>
        <c:radarStyle val="marker"/>
        <c:varyColors val="0"/>
        <c:ser>
          <c:idx val="0"/>
          <c:order val="0"/>
          <c:tx>
            <c:strRef>
              <c:f>'Fiche GT'!$B$1</c:f>
              <c:strCache>
                <c:ptCount val="1"/>
                <c:pt idx="0">
                  <c:v>9830507J : Lycée Antoine Kela                 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GT/1ère G</c:v>
                </c:pt>
                <c:pt idx="6">
                  <c:v>Taux de redoublement 2nde*</c:v>
                </c:pt>
                <c:pt idx="7">
                  <c:v>Taux de réussite au bac GT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GT'!$K$116:$S$116</c:f>
              <c:numCache>
                <c:formatCode>0.0</c:formatCode>
                <c:ptCount val="9"/>
                <c:pt idx="0">
                  <c:v>-5.1698981777235105</c:v>
                </c:pt>
                <c:pt idx="1">
                  <c:v>-4.5892351274787533</c:v>
                </c:pt>
                <c:pt idx="2">
                  <c:v>2.3417721518987342</c:v>
                </c:pt>
                <c:pt idx="3">
                  <c:v>5</c:v>
                </c:pt>
                <c:pt idx="4">
                  <c:v>5</c:v>
                </c:pt>
                <c:pt idx="5">
                  <c:v>-3.497267759562845</c:v>
                </c:pt>
                <c:pt idx="6">
                  <c:v>1.2727272727272725</c:v>
                </c:pt>
                <c:pt idx="7">
                  <c:v>-0.83333333333333881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3-49B2-AC45-0015BF5F841B}"/>
            </c:ext>
          </c:extLst>
        </c:ser>
        <c:ser>
          <c:idx val="1"/>
          <c:order val="1"/>
          <c:tx>
            <c:strRef>
              <c:f>'Fiche GT'!$J$117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GT/1ère G</c:v>
                </c:pt>
                <c:pt idx="6">
                  <c:v>Taux de redoublement 2nde*</c:v>
                </c:pt>
                <c:pt idx="7">
                  <c:v>Taux de réussite au bac GT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GT'!$K$117:$S$117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3-49B2-AC45-0015BF5F8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44576"/>
        <c:axId val="140099584"/>
      </c:radarChart>
      <c:catAx>
        <c:axId val="13794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099584"/>
        <c:crosses val="autoZero"/>
        <c:auto val="0"/>
        <c:lblAlgn val="ctr"/>
        <c:lblOffset val="100"/>
        <c:noMultiLvlLbl val="0"/>
      </c:catAx>
      <c:valAx>
        <c:axId val="140099584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9445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9503174299160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PRO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PRO'!$D$27:$G$27</c:f>
              <c:numCache>
                <c:formatCode>General</c:formatCode>
                <c:ptCount val="4"/>
                <c:pt idx="0">
                  <c:v>2012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'Fiche PRO'!$D$28:$G$28</c:f>
              <c:numCache>
                <c:formatCode>General</c:formatCode>
                <c:ptCount val="4"/>
                <c:pt idx="0">
                  <c:v>1185</c:v>
                </c:pt>
                <c:pt idx="1">
                  <c:v>883</c:v>
                </c:pt>
                <c:pt idx="2">
                  <c:v>916</c:v>
                </c:pt>
                <c:pt idx="3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C-4A9F-94A2-E66FCC8F3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32704"/>
        <c:axId val="140103040"/>
      </c:barChart>
      <c:catAx>
        <c:axId val="1402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3040"/>
        <c:crosses val="autoZero"/>
        <c:auto val="1"/>
        <c:lblAlgn val="ctr"/>
        <c:lblOffset val="100"/>
        <c:noMultiLvlLbl val="0"/>
      </c:catAx>
      <c:valAx>
        <c:axId val="1401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3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image" Target="../media/image2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161924</xdr:rowOff>
    </xdr:from>
    <xdr:to>
      <xdr:col>8</xdr:col>
      <xdr:colOff>904874</xdr:colOff>
      <xdr:row>35</xdr:row>
      <xdr:rowOff>161924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67</xdr:row>
      <xdr:rowOff>0</xdr:rowOff>
    </xdr:from>
    <xdr:to>
      <xdr:col>9</xdr:col>
      <xdr:colOff>0</xdr:colOff>
      <xdr:row>72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51</xdr:row>
      <xdr:rowOff>0</xdr:rowOff>
    </xdr:from>
    <xdr:to>
      <xdr:col>9</xdr:col>
      <xdr:colOff>0</xdr:colOff>
      <xdr:row>55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0</xdr:colOff>
      <xdr:row>55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342900" y="14363699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9525</xdr:rowOff>
    </xdr:from>
    <xdr:to>
      <xdr:col>2</xdr:col>
      <xdr:colOff>746514</xdr:colOff>
      <xdr:row>16</xdr:row>
      <xdr:rowOff>38099</xdr:rowOff>
    </xdr:to>
    <xdr:pic>
      <xdr:nvPicPr>
        <xdr:cNvPr id="11" name="Image 10" descr="http://intranet.in.ac-noumea.nc/vr/IMG/png/logovrnc-dge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1475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0.90948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8"/>
          <a:ext cx="4611915" cy="476238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2738</xdr:colOff>
      <xdr:row>16</xdr:row>
      <xdr:rowOff>38100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04800"/>
          <a:ext cx="1307663" cy="9620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161924</xdr:rowOff>
    </xdr:from>
    <xdr:to>
      <xdr:col>8</xdr:col>
      <xdr:colOff>904874</xdr:colOff>
      <xdr:row>36</xdr:row>
      <xdr:rowOff>161924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66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4</xdr:col>
      <xdr:colOff>0</xdr:colOff>
      <xdr:row>56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absoluteAnchor>
    <xdr:pos x="333375" y="14106524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0.90769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7"/>
          <a:ext cx="4611915" cy="466713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de%20travail/Effectifs%20boursier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ltats"/>
    </sheetNames>
    <sheetDataSet>
      <sheetData sheetId="0">
        <row r="96">
          <cell r="T96">
            <v>0.55632062146892658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.9830003l@ac-noumea.n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.9830003l@ac-noumea.n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Y143"/>
  <sheetViews>
    <sheetView tabSelected="1" workbookViewId="0">
      <selection activeCell="O16" sqref="O16"/>
    </sheetView>
  </sheetViews>
  <sheetFormatPr baseColWidth="10" defaultColWidth="11.42578125" defaultRowHeight="12.75" x14ac:dyDescent="0.2"/>
  <cols>
    <col min="1" max="1" width="4.7109375" style="2" customWidth="1"/>
    <col min="2" max="2" width="19.7109375" style="2" customWidth="1"/>
    <col min="3" max="3" width="11.42578125" style="2"/>
    <col min="4" max="4" width="13.42578125" style="2" customWidth="1"/>
    <col min="5" max="6" width="13.5703125" style="2" customWidth="1"/>
    <col min="7" max="8" width="7.140625" style="2" customWidth="1"/>
    <col min="9" max="9" width="13.5703125" style="2" customWidth="1"/>
    <col min="10" max="16384" width="11.42578125" style="2"/>
  </cols>
  <sheetData>
    <row r="1" spans="2:18" ht="15.75" x14ac:dyDescent="0.25">
      <c r="B1" s="105" t="s">
        <v>146</v>
      </c>
      <c r="C1" s="105"/>
      <c r="D1" s="105"/>
      <c r="E1" s="105"/>
      <c r="F1" s="105"/>
      <c r="G1" s="105"/>
      <c r="H1" s="105"/>
      <c r="I1" s="105"/>
      <c r="K1" s="48" t="s">
        <v>197</v>
      </c>
      <c r="L1" s="49"/>
      <c r="M1" s="49"/>
      <c r="N1" s="49"/>
      <c r="O1" s="49"/>
      <c r="P1" s="49"/>
      <c r="Q1" s="49"/>
      <c r="R1" s="26"/>
    </row>
    <row r="3" spans="2:18" ht="14.25" x14ac:dyDescent="0.2">
      <c r="B3" s="30" t="str">
        <f>VLOOKUP(B1,Base_lyc!A2:B11,2,FALSE)</f>
        <v>9830507J</v>
      </c>
      <c r="D3" s="23"/>
      <c r="E3" s="2" t="s">
        <v>31</v>
      </c>
      <c r="F3" s="29" t="str">
        <f>VLOOKUP(B3,Base_lyc!B2:D11,3,FALSE)</f>
        <v>Poindimié</v>
      </c>
    </row>
    <row r="6" spans="2:18" ht="3" customHeight="1" x14ac:dyDescent="0.2"/>
    <row r="7" spans="2:18" ht="15.75" hidden="1" x14ac:dyDescent="0.2">
      <c r="B7" s="4" t="s">
        <v>19</v>
      </c>
      <c r="C7" s="4"/>
      <c r="D7" s="4"/>
      <c r="E7" s="4"/>
      <c r="F7" s="4"/>
      <c r="G7" s="4"/>
      <c r="H7" s="4"/>
    </row>
    <row r="8" spans="2:18" hidden="1" x14ac:dyDescent="0.2"/>
    <row r="9" spans="2:18" hidden="1" x14ac:dyDescent="0.2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 x14ac:dyDescent="0.2">
      <c r="B10" s="2" t="s">
        <v>30</v>
      </c>
      <c r="C10" s="2" t="s">
        <v>36</v>
      </c>
      <c r="E10" s="20" t="s">
        <v>42</v>
      </c>
    </row>
    <row r="11" spans="2:18" hidden="1" x14ac:dyDescent="0.2">
      <c r="B11" s="2" t="s">
        <v>26</v>
      </c>
      <c r="C11" s="2" t="s">
        <v>37</v>
      </c>
      <c r="E11" s="21" t="s">
        <v>43</v>
      </c>
    </row>
    <row r="12" spans="2:18" hidden="1" x14ac:dyDescent="0.2">
      <c r="B12" s="2" t="s">
        <v>27</v>
      </c>
      <c r="C12" s="2" t="s">
        <v>38</v>
      </c>
      <c r="E12" s="21" t="s">
        <v>13</v>
      </c>
    </row>
    <row r="13" spans="2:18" hidden="1" x14ac:dyDescent="0.2">
      <c r="B13" s="2" t="s">
        <v>28</v>
      </c>
      <c r="C13" s="10" t="s">
        <v>39</v>
      </c>
      <c r="E13" s="21"/>
    </row>
    <row r="14" spans="2:18" hidden="1" x14ac:dyDescent="0.2">
      <c r="E14" s="21" t="s">
        <v>14</v>
      </c>
    </row>
    <row r="19" spans="2:9" ht="15.75" x14ac:dyDescent="0.2">
      <c r="B19" s="11" t="s">
        <v>15</v>
      </c>
    </row>
    <row r="20" spans="2:9" x14ac:dyDescent="0.2">
      <c r="E20" s="18">
        <v>2012</v>
      </c>
      <c r="F20" s="56">
        <v>2022</v>
      </c>
      <c r="G20" s="113">
        <v>2023</v>
      </c>
      <c r="H20" s="114"/>
      <c r="I20" s="56">
        <v>2024</v>
      </c>
    </row>
    <row r="21" spans="2:9" x14ac:dyDescent="0.2">
      <c r="B21" s="2" t="s">
        <v>44</v>
      </c>
      <c r="E21" s="31">
        <f>VLOOKUP(B3,Base_lyc!B2:BP11,5,FALSE)</f>
        <v>307</v>
      </c>
      <c r="F21" s="31">
        <f>VLOOKUP(B3,Base_lyc!B2:BP11,7,FALSE)</f>
        <v>223</v>
      </c>
      <c r="G21" s="115">
        <f>VLOOKUP(B3,Base_lyc!B2:BP11,9,FALSE)</f>
        <v>215</v>
      </c>
      <c r="H21" s="116"/>
      <c r="I21" s="31">
        <f>VLOOKUP(B3,Base_lyc!B2:BP11,11,FALSE)</f>
        <v>210</v>
      </c>
    </row>
    <row r="22" spans="2:9" s="9" customFormat="1" x14ac:dyDescent="0.2">
      <c r="B22" s="9" t="s">
        <v>45</v>
      </c>
      <c r="E22" s="31" t="str">
        <f>VLOOKUP(B3,Base_lyc!B2:BP11,6,FALSE)</f>
        <v>-</v>
      </c>
      <c r="F22" s="31">
        <f>VLOOKUP(B3,Base_lyc!B2:BP11,8,FALSE)</f>
        <v>33</v>
      </c>
      <c r="G22" s="115">
        <f>VLOOKUP(B3,Base_lyc!B2:BP11,10,FALSE)</f>
        <v>29</v>
      </c>
      <c r="H22" s="116"/>
      <c r="I22" s="31">
        <f>VLOOKUP(B3,Base_lyc!B2:BP11,12,FALSE)</f>
        <v>27</v>
      </c>
    </row>
    <row r="27" spans="2:9" x14ac:dyDescent="0.2">
      <c r="C27" s="30">
        <v>2012</v>
      </c>
      <c r="D27" s="30">
        <f>F20</f>
        <v>2022</v>
      </c>
      <c r="E27" s="30">
        <f>G20</f>
        <v>2023</v>
      </c>
      <c r="F27" s="30">
        <f>I20</f>
        <v>2024</v>
      </c>
    </row>
    <row r="28" spans="2:9" x14ac:dyDescent="0.2">
      <c r="C28" s="39">
        <f>E21</f>
        <v>307</v>
      </c>
      <c r="D28" s="39">
        <f>F21</f>
        <v>223</v>
      </c>
      <c r="E28" s="39">
        <f>G21</f>
        <v>215</v>
      </c>
      <c r="F28" s="39">
        <f>I21</f>
        <v>210</v>
      </c>
    </row>
    <row r="39" spans="2:9" ht="15.75" x14ac:dyDescent="0.25">
      <c r="B39" s="5" t="s">
        <v>207</v>
      </c>
      <c r="C39" s="3"/>
      <c r="D39" s="3"/>
      <c r="E39" s="3"/>
      <c r="F39" s="3"/>
      <c r="G39" s="3"/>
      <c r="H39" s="3"/>
    </row>
    <row r="40" spans="2:9" x14ac:dyDescent="0.2">
      <c r="F40" s="106" t="s">
        <v>240</v>
      </c>
      <c r="G40" s="106"/>
      <c r="H40" s="106"/>
      <c r="I40" s="106"/>
    </row>
    <row r="41" spans="2:9" x14ac:dyDescent="0.2">
      <c r="F41" s="45" t="s">
        <v>17</v>
      </c>
      <c r="G41" s="117" t="str">
        <f>VLOOKUP(B3,Base_lyc!B2:BP11,2,FALSE)</f>
        <v>Public</v>
      </c>
      <c r="H41" s="118"/>
      <c r="I41" s="45" t="s">
        <v>196</v>
      </c>
    </row>
    <row r="42" spans="2:9" x14ac:dyDescent="0.2">
      <c r="B42" s="2" t="s">
        <v>213</v>
      </c>
      <c r="F42" s="58">
        <f>VLOOKUP(B3,Base_lyc!B2:BP11,13,FALSE)</f>
        <v>120.49397</v>
      </c>
      <c r="G42" s="119">
        <f>VLOOKUP(B3,Base_lyc!B2:BP11,14,FALSE)</f>
        <v>105.88231857142857</v>
      </c>
      <c r="H42" s="120"/>
      <c r="I42" s="58">
        <f>VLOOKUP(B3,Base_lyc!B2:BP11,15,FALSE)</f>
        <v>105.60460799999998</v>
      </c>
    </row>
    <row r="43" spans="2:9" x14ac:dyDescent="0.2">
      <c r="B43" s="2" t="s">
        <v>215</v>
      </c>
      <c r="F43" s="58">
        <f>VLOOKUP(B3,Base_lyc!B2:BP11,16,FALSE)</f>
        <v>6.8</v>
      </c>
      <c r="G43" s="119">
        <f>VLOOKUP(B3,Base_lyc!B2:BP11,17,FALSE)</f>
        <v>12</v>
      </c>
      <c r="H43" s="120"/>
      <c r="I43" s="58">
        <f>VLOOKUP(B3,Base_lyc!B2:BP11,18,FALSE)</f>
        <v>12.2</v>
      </c>
    </row>
    <row r="44" spans="2:9" x14ac:dyDescent="0.2">
      <c r="B44" s="2" t="s">
        <v>216</v>
      </c>
      <c r="F44" s="58">
        <f>VLOOKUP(B3,Base_lyc!B2:BP11,19,FALSE)</f>
        <v>15.7</v>
      </c>
      <c r="G44" s="119">
        <f>VLOOKUP(B3,Base_lyc!B2:BP11,20,FALSE)</f>
        <v>26.2</v>
      </c>
      <c r="H44" s="120"/>
      <c r="I44" s="58">
        <f>VLOOKUP(B3,Base_lyc!B2:BP11,21,FALSE)</f>
        <v>26.1</v>
      </c>
    </row>
    <row r="45" spans="2:9" x14ac:dyDescent="0.2">
      <c r="B45" s="2" t="s">
        <v>217</v>
      </c>
      <c r="F45" s="58">
        <f>VLOOKUP(B3,Base_lyc!B2:BP11,22,FALSE)</f>
        <v>92.6</v>
      </c>
      <c r="G45" s="119">
        <f>VLOOKUP(B3,Base_lyc!B2:BP11,23,FALSE)</f>
        <v>107.7</v>
      </c>
      <c r="H45" s="120"/>
      <c r="I45" s="58">
        <f>VLOOKUP(B3,Base_lyc!B2:BP11,24,FALSE)</f>
        <v>108.8</v>
      </c>
    </row>
    <row r="46" spans="2:9" x14ac:dyDescent="0.2">
      <c r="B46" s="2" t="s">
        <v>224</v>
      </c>
      <c r="F46" s="58">
        <f>VLOOKUP(B3,Base_lyc!BQ2:BT11,2,FALSE)</f>
        <v>48.372093023255815</v>
      </c>
      <c r="G46" s="119">
        <f>VLOOKUP(B3,Base_lyc!BQ2:BT11,3,FALSE)</f>
        <v>23.72515125324114</v>
      </c>
      <c r="H46" s="120"/>
      <c r="I46" s="58">
        <f>VLOOKUP(B3,Base_lyc!BQ2:BT11,4,FALSE)</f>
        <v>23.05493807557955</v>
      </c>
    </row>
    <row r="47" spans="2:9" x14ac:dyDescent="0.2">
      <c r="B47" s="2" t="s">
        <v>46</v>
      </c>
      <c r="F47" s="58">
        <f>VLOOKUP(B3,Base_lyc!B2:BP11,25,FALSE)</f>
        <v>5.3</v>
      </c>
      <c r="G47" s="119">
        <f>VLOOKUP(B3,Base_lyc!B2:BP11,26,FALSE)</f>
        <v>8.6999999999999993</v>
      </c>
      <c r="H47" s="120"/>
      <c r="I47" s="58">
        <f>VLOOKUP(B3,Base_lyc!B2:BP11,27,FALSE)</f>
        <v>9</v>
      </c>
    </row>
    <row r="48" spans="2:9" x14ac:dyDescent="0.2">
      <c r="B48" s="2" t="s">
        <v>235</v>
      </c>
      <c r="F48" s="103">
        <f>VLOOKUP(B3,Base_lyc!BQ2:BZ11,5,FALSE)</f>
        <v>77.900000000000006</v>
      </c>
      <c r="G48" s="121">
        <f>VLOOKUP(B3,Base_lyc!BQ2:BZ11,6,FALSE)</f>
        <v>88.9</v>
      </c>
      <c r="H48" s="121"/>
      <c r="I48" s="103">
        <f>VLOOKUP(B3,Base_lyc!BQ2:BZ11,7,FALSE)</f>
        <v>89.2</v>
      </c>
    </row>
    <row r="49" spans="2:12" x14ac:dyDescent="0.2">
      <c r="B49" s="2" t="s">
        <v>236</v>
      </c>
      <c r="F49" s="101">
        <f>VLOOKUP(B3,Base_lyc!BQ2:BZ11,8,FALSE)</f>
        <v>46.8</v>
      </c>
      <c r="G49" s="122">
        <f>VLOOKUP(B3,Base_lyc!BQ2:BZ11,9,FALSE)</f>
        <v>60.6</v>
      </c>
      <c r="H49" s="122"/>
      <c r="I49" s="101">
        <f>VLOOKUP(B3,Base_lyc!BQ2:BZ11,10,FALSE)</f>
        <v>61</v>
      </c>
    </row>
    <row r="50" spans="2:12" ht="16.5" hidden="1" customHeight="1" x14ac:dyDescent="0.2">
      <c r="B50" s="15" t="s">
        <v>127</v>
      </c>
      <c r="C50" s="16"/>
      <c r="D50" s="16"/>
      <c r="E50" s="16"/>
      <c r="F50" s="16"/>
      <c r="G50" s="16"/>
      <c r="H50" s="16"/>
      <c r="I50" s="17" t="s">
        <v>6</v>
      </c>
    </row>
    <row r="51" spans="2:12" ht="19.5" hidden="1" customHeight="1" x14ac:dyDescent="0.2">
      <c r="B51" s="12" t="s">
        <v>2</v>
      </c>
      <c r="C51" s="107" t="s">
        <v>1</v>
      </c>
      <c r="D51" s="108"/>
      <c r="E51" s="109" t="s">
        <v>3</v>
      </c>
      <c r="F51" s="110"/>
      <c r="G51" s="111" t="s">
        <v>4</v>
      </c>
      <c r="H51" s="111"/>
      <c r="I51" s="112"/>
    </row>
    <row r="52" spans="2:12" hidden="1" x14ac:dyDescent="0.2">
      <c r="J52" s="32">
        <v>-6.5</v>
      </c>
      <c r="K52" s="41">
        <f>VLOOKUP(B3,Base_lyc!B36:C45,2,FALSE)</f>
        <v>0</v>
      </c>
      <c r="L52" s="32">
        <v>6.5</v>
      </c>
    </row>
    <row r="53" spans="2:12" hidden="1" x14ac:dyDescent="0.2">
      <c r="J53" s="32">
        <v>0</v>
      </c>
      <c r="K53" s="32">
        <v>0</v>
      </c>
      <c r="L53" s="32">
        <v>0</v>
      </c>
    </row>
    <row r="54" spans="2:12" hidden="1" x14ac:dyDescent="0.2">
      <c r="J54" s="13"/>
      <c r="K54" s="13"/>
      <c r="L54" s="13"/>
    </row>
    <row r="55" spans="2:12" x14ac:dyDescent="0.2">
      <c r="J55" s="13"/>
      <c r="K55" s="13"/>
      <c r="L55" s="13"/>
    </row>
    <row r="56" spans="2:12" x14ac:dyDescent="0.2">
      <c r="B56" s="47" t="s">
        <v>237</v>
      </c>
      <c r="J56" s="13"/>
      <c r="K56" s="13"/>
      <c r="L56" s="13"/>
    </row>
    <row r="57" spans="2:12" x14ac:dyDescent="0.2">
      <c r="J57" s="13"/>
      <c r="K57" s="13"/>
      <c r="L57" s="13"/>
    </row>
    <row r="59" spans="2:12" ht="15.75" x14ac:dyDescent="0.25">
      <c r="B59" s="5" t="s">
        <v>0</v>
      </c>
    </row>
    <row r="60" spans="2:12" x14ac:dyDescent="0.2">
      <c r="F60" s="106" t="s">
        <v>240</v>
      </c>
      <c r="G60" s="106"/>
      <c r="H60" s="106"/>
      <c r="I60" s="106"/>
    </row>
    <row r="61" spans="2:12" x14ac:dyDescent="0.2">
      <c r="F61" s="6" t="s">
        <v>17</v>
      </c>
      <c r="G61" s="117" t="str">
        <f>VLOOKUP(B3,Base_lyc!B2:BP11,2,FALSE)</f>
        <v>Public</v>
      </c>
      <c r="H61" s="118"/>
      <c r="I61" s="45" t="s">
        <v>196</v>
      </c>
    </row>
    <row r="62" spans="2:12" x14ac:dyDescent="0.2">
      <c r="B62" s="2" t="s">
        <v>20</v>
      </c>
      <c r="F62" s="129">
        <f>VLOOKUP(B3,Base_lyc!B2:BP11,28,FALSE)</f>
        <v>1.95</v>
      </c>
      <c r="G62" s="125">
        <f>VLOOKUP(B3,Base_lyc!B2:BP11,29,FALSE)</f>
        <v>1.52</v>
      </c>
      <c r="H62" s="126"/>
      <c r="I62" s="129">
        <f>VLOOKUP(B3,Base_lyc!B2:BP11,30,FALSE)</f>
        <v>1.5</v>
      </c>
    </row>
    <row r="63" spans="2:12" x14ac:dyDescent="0.2">
      <c r="B63" s="2" t="s">
        <v>47</v>
      </c>
      <c r="F63" s="130"/>
      <c r="G63" s="127"/>
      <c r="H63" s="128"/>
      <c r="I63" s="130"/>
    </row>
    <row r="64" spans="2:12" x14ac:dyDescent="0.2">
      <c r="B64" s="2" t="s">
        <v>48</v>
      </c>
      <c r="F64" s="58">
        <f>VLOOKUP(B3,Base_lyc!B2:BP11,31,FALSE)</f>
        <v>19.55</v>
      </c>
      <c r="G64" s="119">
        <f>VLOOKUP(B3,Base_lyc!B2:BP11,32,FALSE)</f>
        <v>27.36</v>
      </c>
      <c r="H64" s="120"/>
      <c r="I64" s="102">
        <f>VLOOKUP(B3,Base_lyc!B2:BP11,33,FALSE)</f>
        <v>27.73</v>
      </c>
    </row>
    <row r="66" spans="2:12" ht="16.5" hidden="1" customHeight="1" x14ac:dyDescent="0.2">
      <c r="B66" s="15" t="s">
        <v>128</v>
      </c>
      <c r="C66" s="16"/>
      <c r="D66" s="16"/>
      <c r="E66" s="16"/>
      <c r="F66" s="16"/>
      <c r="G66" s="16"/>
      <c r="H66" s="16"/>
      <c r="I66" s="17" t="s">
        <v>5</v>
      </c>
    </row>
    <row r="67" spans="2:12" ht="19.5" hidden="1" customHeight="1" x14ac:dyDescent="0.2">
      <c r="B67" s="12" t="s">
        <v>2</v>
      </c>
      <c r="C67" s="107" t="s">
        <v>1</v>
      </c>
      <c r="D67" s="108"/>
      <c r="E67" s="109" t="s">
        <v>3</v>
      </c>
      <c r="F67" s="110"/>
      <c r="G67" s="111" t="s">
        <v>4</v>
      </c>
      <c r="H67" s="111"/>
      <c r="I67" s="112"/>
    </row>
    <row r="68" spans="2:12" hidden="1" x14ac:dyDescent="0.2">
      <c r="J68" s="32">
        <v>-6.5</v>
      </c>
      <c r="K68" s="41" t="e">
        <f>VLOOKUP(B3,Base_lyc!B36:C45,3,FALSE)</f>
        <v>#REF!</v>
      </c>
      <c r="L68" s="32">
        <v>6.5</v>
      </c>
    </row>
    <row r="69" spans="2:12" hidden="1" x14ac:dyDescent="0.2">
      <c r="J69" s="32">
        <v>0</v>
      </c>
      <c r="K69" s="32">
        <v>0</v>
      </c>
      <c r="L69" s="32">
        <v>0</v>
      </c>
    </row>
    <row r="70" spans="2:12" hidden="1" x14ac:dyDescent="0.2">
      <c r="J70" s="13"/>
      <c r="K70" s="13"/>
      <c r="L70" s="13"/>
    </row>
    <row r="71" spans="2:12" x14ac:dyDescent="0.2">
      <c r="J71" s="13"/>
      <c r="K71" s="13"/>
      <c r="L71" s="13"/>
    </row>
    <row r="72" spans="2:12" x14ac:dyDescent="0.2">
      <c r="J72" s="13"/>
      <c r="K72" s="13"/>
      <c r="L72" s="13"/>
    </row>
    <row r="73" spans="2:12" ht="15.75" x14ac:dyDescent="0.25">
      <c r="B73" s="5" t="s">
        <v>21</v>
      </c>
    </row>
    <row r="74" spans="2:12" x14ac:dyDescent="0.2">
      <c r="F74" s="106" t="s">
        <v>240</v>
      </c>
      <c r="G74" s="106"/>
      <c r="H74" s="106"/>
      <c r="I74" s="106"/>
    </row>
    <row r="75" spans="2:12" x14ac:dyDescent="0.2">
      <c r="F75" s="45" t="s">
        <v>17</v>
      </c>
      <c r="G75" s="117" t="str">
        <f>VLOOKUP(B3,Base_lyc!B2:BP11,2,FALSE)</f>
        <v>Public</v>
      </c>
      <c r="H75" s="118"/>
      <c r="I75" s="45" t="s">
        <v>196</v>
      </c>
    </row>
    <row r="76" spans="2:12" hidden="1" x14ac:dyDescent="0.2">
      <c r="B76" s="2" t="s">
        <v>22</v>
      </c>
      <c r="F76" s="103">
        <f>VLOOKUP(B3,Base_lyc!B2:BP11,56,FALSE)</f>
        <v>0</v>
      </c>
      <c r="G76" s="123">
        <f>VLOOKUP(B3,Base_lyc!B2:BP11,57,FALSE)</f>
        <v>0</v>
      </c>
      <c r="H76" s="124"/>
      <c r="I76" s="103">
        <f>VLOOKUP(B3,Base_lyc!B2:BP11,58,FALSE)</f>
        <v>0</v>
      </c>
    </row>
    <row r="77" spans="2:12" x14ac:dyDescent="0.2">
      <c r="B77" s="2" t="s">
        <v>23</v>
      </c>
      <c r="F77" s="58">
        <f>VLOOKUP(B3,Base_lyc!B2:BP11,59,FALSE)</f>
        <v>88.2</v>
      </c>
      <c r="G77" s="119">
        <f>VLOOKUP(B3,Base_lyc!B2:BP11,60,FALSE)</f>
        <v>87.7</v>
      </c>
      <c r="H77" s="120"/>
      <c r="I77" s="58">
        <f>VLOOKUP(B3,Base_lyc!B2:BP11,61,FALSE)</f>
        <v>85</v>
      </c>
    </row>
    <row r="78" spans="2:12" x14ac:dyDescent="0.2">
      <c r="B78" s="2" t="s">
        <v>24</v>
      </c>
      <c r="F78" s="58">
        <f>VLOOKUP(B3,Base_lyc!B2:BP11,62,FALSE)</f>
        <v>5.3</v>
      </c>
      <c r="G78" s="119">
        <f>VLOOKUP(B3,Base_lyc!B2:BP11,63,FALSE)</f>
        <v>5.6</v>
      </c>
      <c r="H78" s="120"/>
      <c r="I78" s="58">
        <f>VLOOKUP(B3,Base_lyc!B2:BP11,64,FALSE)</f>
        <v>6</v>
      </c>
    </row>
    <row r="79" spans="2:12" x14ac:dyDescent="0.2">
      <c r="B79" s="2" t="s">
        <v>25</v>
      </c>
      <c r="F79" s="58">
        <f>VLOOKUP(B3,Base_lyc!B2:BP11,65,FALSE)</f>
        <v>45.8</v>
      </c>
      <c r="G79" s="119">
        <f>VLOOKUP(B3,Base_lyc!B2:BP11,66,FALSE)</f>
        <v>45.4</v>
      </c>
      <c r="H79" s="120"/>
      <c r="I79" s="58">
        <f>VLOOKUP(B3,Base_lyc!B2:BP11,67,FALSE)</f>
        <v>45.8</v>
      </c>
    </row>
    <row r="86" spans="2:10" ht="15.75" x14ac:dyDescent="0.25">
      <c r="B86" s="5" t="s">
        <v>7</v>
      </c>
    </row>
    <row r="87" spans="2:10" x14ac:dyDescent="0.2">
      <c r="F87" s="106" t="s">
        <v>241</v>
      </c>
      <c r="G87" s="106"/>
      <c r="H87" s="106"/>
      <c r="I87" s="106"/>
    </row>
    <row r="88" spans="2:10" x14ac:dyDescent="0.2">
      <c r="F88" s="18" t="s">
        <v>17</v>
      </c>
      <c r="G88" s="36" t="s">
        <v>10</v>
      </c>
      <c r="H88" s="18" t="str">
        <f>VLOOKUP(B3,Base_lyc!B2:BP11,2,FALSE)</f>
        <v>Public</v>
      </c>
      <c r="I88" s="45" t="s">
        <v>196</v>
      </c>
    </row>
    <row r="89" spans="2:10" x14ac:dyDescent="0.2">
      <c r="B89" s="2" t="s">
        <v>198</v>
      </c>
      <c r="E89" s="19"/>
      <c r="F89" s="58">
        <f>VLOOKUP(B3,Base_lyc!B2:BP11,34,FALSE)</f>
        <v>82</v>
      </c>
      <c r="G89" s="59" t="s">
        <v>12</v>
      </c>
      <c r="H89" s="60">
        <f>VLOOKUP(B3,Base_lyc!B2:BP11,35,FALSE)</f>
        <v>87.4</v>
      </c>
      <c r="I89" s="58">
        <f>VLOOKUP(B3,Base_lyc!B2:BP11,36,FALSE)</f>
        <v>88.4</v>
      </c>
    </row>
    <row r="90" spans="2:10" x14ac:dyDescent="0.2">
      <c r="B90" s="2" t="s">
        <v>199</v>
      </c>
      <c r="E90" s="19"/>
      <c r="F90" s="58">
        <f>VLOOKUP(B3,Base_lyc!B2:BP11,37,FALSE)</f>
        <v>13.5</v>
      </c>
      <c r="G90" s="59" t="s">
        <v>12</v>
      </c>
      <c r="H90" s="60">
        <f>VLOOKUP(B3,Base_lyc!B2:BP11,38,FALSE)</f>
        <v>4.5</v>
      </c>
      <c r="I90" s="58">
        <f>VLOOKUP(B3,Base_lyc!B2:BP11,39,FALSE)</f>
        <v>3.9</v>
      </c>
      <c r="J90" s="9"/>
    </row>
    <row r="91" spans="2:10" x14ac:dyDescent="0.2">
      <c r="B91" s="2" t="s">
        <v>189</v>
      </c>
      <c r="E91" s="19"/>
      <c r="F91" s="58">
        <f>VLOOKUP(B3,Base_lyc!B2:BP11,40,FALSE)</f>
        <v>2.2000000000000002</v>
      </c>
      <c r="G91" s="59" t="s">
        <v>12</v>
      </c>
      <c r="H91" s="60">
        <f>VLOOKUP(B3,Base_lyc!B2:BP11,41,FALSE)</f>
        <v>2.6</v>
      </c>
      <c r="I91" s="58">
        <f>VLOOKUP(B3,Base_lyc!B2:BP11,42,FALSE)</f>
        <v>4.3</v>
      </c>
    </row>
    <row r="92" spans="2:10" x14ac:dyDescent="0.2">
      <c r="B92" s="2" t="s">
        <v>50</v>
      </c>
      <c r="E92" s="19"/>
      <c r="F92" s="58" t="str">
        <f>VLOOKUP(B3,Base_lyc!B2:BP11,43,FALSE)</f>
        <v>65</v>
      </c>
      <c r="G92" s="74" t="str">
        <f>VLOOKUP(B3,Base_lyc!B2:BP11,44,FALSE)</f>
        <v>-16</v>
      </c>
      <c r="H92" s="59" t="s">
        <v>12</v>
      </c>
      <c r="I92" s="59" t="s">
        <v>12</v>
      </c>
    </row>
    <row r="93" spans="2:10" x14ac:dyDescent="0.2">
      <c r="B93" s="2" t="s">
        <v>51</v>
      </c>
      <c r="E93" s="19"/>
      <c r="F93" s="58" t="str">
        <f>VLOOKUP(B3,Base_lyc!B2:BP11,45,FALSE)</f>
        <v>82</v>
      </c>
      <c r="G93" s="74" t="str">
        <f>VLOOKUP(B3,Base_lyc!B2:BP11,46,FALSE)</f>
        <v>-6</v>
      </c>
      <c r="H93" s="59" t="s">
        <v>12</v>
      </c>
      <c r="I93" s="59" t="s">
        <v>12</v>
      </c>
    </row>
    <row r="94" spans="2:10" x14ac:dyDescent="0.2">
      <c r="B94" s="2" t="s">
        <v>52</v>
      </c>
      <c r="E94" s="19"/>
      <c r="F94" s="58" t="str">
        <f>VLOOKUP(B3,Base_lyc!B2:BP11,47,FALSE)</f>
        <v>85</v>
      </c>
      <c r="G94" s="74" t="str">
        <f>VLOOKUP(B3,Base_lyc!B2:BP11,48,FALSE)</f>
        <v>-6</v>
      </c>
      <c r="H94" s="59" t="s">
        <v>12</v>
      </c>
      <c r="I94" s="59" t="s">
        <v>12</v>
      </c>
    </row>
    <row r="96" spans="2:10" hidden="1" x14ac:dyDescent="0.2">
      <c r="B96" s="15" t="s">
        <v>178</v>
      </c>
      <c r="C96" s="16"/>
      <c r="D96" s="16"/>
      <c r="E96" s="16"/>
      <c r="F96" s="16"/>
      <c r="G96" s="16"/>
      <c r="H96" s="16"/>
      <c r="I96" s="17" t="s">
        <v>11</v>
      </c>
    </row>
    <row r="97" spans="2:25" ht="18" hidden="1" x14ac:dyDescent="0.2">
      <c r="B97" s="12" t="s">
        <v>2</v>
      </c>
      <c r="C97" s="107" t="s">
        <v>1</v>
      </c>
      <c r="D97" s="108"/>
      <c r="E97" s="109" t="s">
        <v>3</v>
      </c>
      <c r="F97" s="110"/>
      <c r="G97" s="111" t="s">
        <v>4</v>
      </c>
      <c r="H97" s="111"/>
      <c r="I97" s="112"/>
    </row>
    <row r="98" spans="2:25" hidden="1" x14ac:dyDescent="0.2">
      <c r="J98" s="32">
        <v>-6.5</v>
      </c>
      <c r="K98" s="41" t="e">
        <f>VLOOKUP(B3,Base_lyc!B36:C45,4,FALSE)</f>
        <v>#REF!</v>
      </c>
      <c r="L98" s="32">
        <v>6.5</v>
      </c>
    </row>
    <row r="99" spans="2:25" hidden="1" x14ac:dyDescent="0.2">
      <c r="J99" s="32">
        <v>0</v>
      </c>
      <c r="K99" s="32">
        <v>0</v>
      </c>
      <c r="L99" s="32">
        <v>0</v>
      </c>
    </row>
    <row r="101" spans="2:25" ht="15.75" x14ac:dyDescent="0.25">
      <c r="B101" s="5" t="s">
        <v>9</v>
      </c>
    </row>
    <row r="102" spans="2:25" x14ac:dyDescent="0.2">
      <c r="F102" s="106" t="s">
        <v>240</v>
      </c>
      <c r="G102" s="106"/>
      <c r="H102" s="106"/>
      <c r="I102" s="106"/>
      <c r="J102" s="25"/>
    </row>
    <row r="103" spans="2:25" x14ac:dyDescent="0.2">
      <c r="F103" s="24" t="s">
        <v>17</v>
      </c>
      <c r="G103" s="6" t="s">
        <v>10</v>
      </c>
      <c r="H103" s="38" t="str">
        <f>VLOOKUP(B3,Base_lyc!B2:BP11,2,FALSE)</f>
        <v>Public</v>
      </c>
      <c r="I103" s="45" t="s">
        <v>196</v>
      </c>
    </row>
    <row r="104" spans="2:25" x14ac:dyDescent="0.2">
      <c r="B104" s="2" t="s">
        <v>174</v>
      </c>
      <c r="E104" s="19"/>
      <c r="F104" s="58">
        <f>VLOOKUP(B3,Base_lyc!B2:BP11,49,FALSE)</f>
        <v>87.1</v>
      </c>
      <c r="G104" s="73" t="str">
        <f>VLOOKUP(B3,Base_lyc!B2:BP11,50,FALSE)</f>
        <v>-9</v>
      </c>
      <c r="H104" s="58">
        <f>VLOOKUP(B3,Base_lyc!B2:BP11,51,FALSE)</f>
        <v>88.2</v>
      </c>
      <c r="I104" s="58">
        <f>VLOOKUP(B3,Base_lyc!B2:BP11,52,FALSE)</f>
        <v>88.9</v>
      </c>
    </row>
    <row r="105" spans="2:25" x14ac:dyDescent="0.2">
      <c r="B105" s="2" t="s">
        <v>49</v>
      </c>
      <c r="E105" s="19"/>
      <c r="F105" s="58">
        <f>VLOOKUP(B3,Base_lyc!B2:BP11,53,FALSE)</f>
        <v>76.900000000000006</v>
      </c>
      <c r="G105" s="59" t="s">
        <v>12</v>
      </c>
      <c r="H105" s="60">
        <f>VLOOKUP(B3,Base_lyc!B2:BP11,54,FALSE)</f>
        <v>72.900000000000006</v>
      </c>
      <c r="I105" s="58">
        <f>VLOOKUP(B3,Base_lyc!B2:BP11,55,FALSE)</f>
        <v>72.8</v>
      </c>
    </row>
    <row r="108" spans="2:25" ht="15.75" x14ac:dyDescent="0.2">
      <c r="B108" s="8" t="s">
        <v>8</v>
      </c>
    </row>
    <row r="109" spans="2:25" x14ac:dyDescent="0.2">
      <c r="Y109" s="22"/>
    </row>
    <row r="112" spans="2:25" x14ac:dyDescent="0.2">
      <c r="K112" s="63"/>
      <c r="L112" s="63"/>
      <c r="M112" s="63"/>
      <c r="N112" s="63"/>
      <c r="O112" s="63"/>
      <c r="P112" s="64"/>
      <c r="Q112" s="65"/>
      <c r="R112" s="65"/>
      <c r="S112" s="57"/>
      <c r="T112" s="63"/>
      <c r="U112" s="34"/>
      <c r="V112" s="34"/>
    </row>
    <row r="113" spans="10:25" x14ac:dyDescent="0.2">
      <c r="K113" s="63"/>
      <c r="L113" s="57"/>
      <c r="M113" s="57"/>
      <c r="N113" s="57"/>
      <c r="O113" s="63"/>
      <c r="P113" s="64"/>
      <c r="Q113" s="57"/>
      <c r="R113" s="57"/>
      <c r="S113" s="57"/>
      <c r="T113" s="57"/>
      <c r="U113" s="34"/>
      <c r="V113" s="34"/>
    </row>
    <row r="114" spans="10:25" x14ac:dyDescent="0.2">
      <c r="J114" s="1" t="s">
        <v>195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  <c r="V114" s="9"/>
    </row>
    <row r="115" spans="10:25" ht="51" x14ac:dyDescent="0.2">
      <c r="J115" s="55" t="s">
        <v>8</v>
      </c>
      <c r="K115" s="42" t="s">
        <v>212</v>
      </c>
      <c r="L115" s="42" t="s">
        <v>206</v>
      </c>
      <c r="M115" s="42" t="s">
        <v>53</v>
      </c>
      <c r="N115" s="42" t="s">
        <v>32</v>
      </c>
      <c r="O115" s="43" t="s">
        <v>34</v>
      </c>
      <c r="P115" s="42" t="s">
        <v>54</v>
      </c>
      <c r="Q115" s="42" t="s">
        <v>55</v>
      </c>
      <c r="R115" s="42" t="s">
        <v>179</v>
      </c>
      <c r="S115" s="42" t="s">
        <v>33</v>
      </c>
      <c r="T115" s="62"/>
      <c r="U115" s="62"/>
      <c r="V115" s="62"/>
      <c r="Y115" s="13"/>
    </row>
    <row r="116" spans="10:25" x14ac:dyDescent="0.2">
      <c r="J116" s="1" t="s">
        <v>17</v>
      </c>
      <c r="K116" s="44">
        <f>VLOOKUP(B3,Base_lyc!B36:O45,5,FALSE)</f>
        <v>-5.1698981777235105</v>
      </c>
      <c r="L116" s="44">
        <f>VLOOKUP(B3,Base_lyc!B36:O45,6,FALSE)</f>
        <v>-4.5892351274787533</v>
      </c>
      <c r="M116" s="44">
        <f>VLOOKUP(B3,Base_lyc!B36:O45,7,FALSE)</f>
        <v>2.3417721518987342</v>
      </c>
      <c r="N116" s="44">
        <f>VLOOKUP(B3,Base_lyc!B36:O45,8,FALSE)</f>
        <v>5</v>
      </c>
      <c r="O116" s="44">
        <f>VLOOKUP(B3,Base_lyc!B36:O45,9,FALSE)</f>
        <v>5</v>
      </c>
      <c r="P116" s="44">
        <f>VLOOKUP(B3,Base_lyc!B36:O45,10,FALSE)</f>
        <v>-3.497267759562845</v>
      </c>
      <c r="Q116" s="44">
        <f>VLOOKUP(B3,Base_lyc!B36:O45,11,FALSE)</f>
        <v>1.2727272727272725</v>
      </c>
      <c r="R116" s="44">
        <f>VLOOKUP(B3,Base_lyc!B36:O45,12,FALSE)</f>
        <v>-0.83333333333333881</v>
      </c>
      <c r="S116" s="44">
        <f>VLOOKUP(B3,Base_lyc!B36:O45,13,FALSE)</f>
        <v>0</v>
      </c>
      <c r="T116" s="63"/>
      <c r="U116" s="57"/>
      <c r="V116" s="57"/>
      <c r="Y116" s="34"/>
    </row>
    <row r="117" spans="10:25" x14ac:dyDescent="0.2">
      <c r="J117" s="1" t="s">
        <v>196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57"/>
      <c r="U117" s="57"/>
      <c r="V117" s="57"/>
    </row>
    <row r="127" spans="10:25" x14ac:dyDescent="0.2"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0:25" x14ac:dyDescent="0.2"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1:22" x14ac:dyDescent="0.2"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1:22" x14ac:dyDescent="0.2">
      <c r="K130" s="13"/>
      <c r="L130" s="13"/>
      <c r="M130" s="13"/>
      <c r="N130" s="13"/>
      <c r="O130" s="13"/>
      <c r="P130" s="13"/>
      <c r="Q130" s="13"/>
      <c r="R130" s="13"/>
      <c r="S130" s="13"/>
      <c r="T130" s="40"/>
    </row>
    <row r="131" spans="11:22" x14ac:dyDescent="0.2">
      <c r="K131" s="13"/>
      <c r="L131" s="13"/>
      <c r="M131" s="13"/>
      <c r="N131" s="13"/>
      <c r="O131" s="13"/>
      <c r="P131" s="13"/>
      <c r="Q131" s="13"/>
      <c r="R131" s="13"/>
      <c r="S131" s="13"/>
      <c r="T131" s="40"/>
    </row>
    <row r="132" spans="11:22" x14ac:dyDescent="0.2"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1:22" x14ac:dyDescent="0.2"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1:22" x14ac:dyDescent="0.2"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1:22" x14ac:dyDescent="0.2">
      <c r="K135" s="13"/>
      <c r="L135" s="13"/>
      <c r="M135" s="13"/>
      <c r="N135" s="13"/>
      <c r="O135" s="13"/>
      <c r="P135" s="13"/>
      <c r="Q135" s="13"/>
      <c r="R135" s="13"/>
      <c r="S135" s="13"/>
      <c r="T135" s="40"/>
      <c r="U135" s="13"/>
      <c r="V135" s="13"/>
    </row>
    <row r="136" spans="11:22" x14ac:dyDescent="0.2">
      <c r="K136" s="13"/>
      <c r="L136" s="13"/>
      <c r="M136" s="13"/>
      <c r="N136" s="13"/>
      <c r="O136" s="13"/>
      <c r="P136" s="13"/>
      <c r="Q136" s="13"/>
      <c r="R136" s="13"/>
      <c r="S136" s="40"/>
      <c r="T136" s="40"/>
      <c r="U136" s="13"/>
      <c r="V136" s="13"/>
    </row>
    <row r="137" spans="11:22" x14ac:dyDescent="0.2"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1:22" x14ac:dyDescent="0.2"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1:22" x14ac:dyDescent="0.2"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1:22" x14ac:dyDescent="0.2"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1:22" x14ac:dyDescent="0.2"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1:22" x14ac:dyDescent="0.2"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1:22" x14ac:dyDescent="0.2"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27"/>
      <c r="V143" s="27"/>
    </row>
  </sheetData>
  <mergeCells count="37">
    <mergeCell ref="G49:H49"/>
    <mergeCell ref="G61:H61"/>
    <mergeCell ref="G75:H75"/>
    <mergeCell ref="G76:H76"/>
    <mergeCell ref="G62:H63"/>
    <mergeCell ref="G64:H64"/>
    <mergeCell ref="F60:I60"/>
    <mergeCell ref="F62:F63"/>
    <mergeCell ref="I62:I63"/>
    <mergeCell ref="F102:I102"/>
    <mergeCell ref="C67:D67"/>
    <mergeCell ref="E67:F67"/>
    <mergeCell ref="G67:I67"/>
    <mergeCell ref="F87:I87"/>
    <mergeCell ref="C97:D97"/>
    <mergeCell ref="E97:F97"/>
    <mergeCell ref="G97:I97"/>
    <mergeCell ref="F74:I74"/>
    <mergeCell ref="G79:H79"/>
    <mergeCell ref="G77:H77"/>
    <mergeCell ref="G78:H78"/>
    <mergeCell ref="B1:I1"/>
    <mergeCell ref="F40:I40"/>
    <mergeCell ref="C51:D51"/>
    <mergeCell ref="E51:F51"/>
    <mergeCell ref="G51:I51"/>
    <mergeCell ref="G20:H20"/>
    <mergeCell ref="G21:H21"/>
    <mergeCell ref="G22:H22"/>
    <mergeCell ref="G41:H41"/>
    <mergeCell ref="G42:H42"/>
    <mergeCell ref="G43:H43"/>
    <mergeCell ref="G44:H44"/>
    <mergeCell ref="G45:H45"/>
    <mergeCell ref="G47:H47"/>
    <mergeCell ref="G46:H46"/>
    <mergeCell ref="G48:H48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6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Base_lyc!$A$2:$A$11</xm:f>
          </x14:formula1>
          <xm:sqref>B1:I1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Y146"/>
  <sheetViews>
    <sheetView workbookViewId="0">
      <selection activeCell="G80" sqref="G80"/>
    </sheetView>
  </sheetViews>
  <sheetFormatPr baseColWidth="10" defaultColWidth="11.42578125" defaultRowHeight="12.75" x14ac:dyDescent="0.2"/>
  <cols>
    <col min="1" max="1" width="4.7109375" style="2" customWidth="1"/>
    <col min="2" max="2" width="19.7109375" style="2" customWidth="1"/>
    <col min="3" max="3" width="11.42578125" style="2"/>
    <col min="4" max="4" width="13.42578125" style="2" customWidth="1"/>
    <col min="5" max="6" width="13.5703125" style="2" customWidth="1"/>
    <col min="7" max="8" width="7.140625" style="2" customWidth="1"/>
    <col min="9" max="9" width="13.5703125" style="2" customWidth="1"/>
    <col min="10" max="16384" width="11.42578125" style="2"/>
  </cols>
  <sheetData>
    <row r="1" spans="2:18" ht="15.75" x14ac:dyDescent="0.25">
      <c r="B1" s="105" t="s">
        <v>131</v>
      </c>
      <c r="C1" s="105"/>
      <c r="D1" s="105"/>
      <c r="E1" s="105"/>
      <c r="F1" s="105"/>
      <c r="G1" s="105"/>
      <c r="H1" s="105"/>
      <c r="I1" s="105"/>
      <c r="K1" s="48" t="s">
        <v>197</v>
      </c>
      <c r="L1" s="49"/>
      <c r="M1" s="49"/>
      <c r="N1" s="49"/>
      <c r="O1" s="49"/>
      <c r="P1" s="49"/>
      <c r="Q1" s="49"/>
      <c r="R1" s="26"/>
    </row>
    <row r="3" spans="2:18" ht="14.25" x14ac:dyDescent="0.2">
      <c r="B3" s="2" t="str">
        <f>VLOOKUP(B1,Base_lyc!A15:B30,2,FALSE)</f>
        <v>9830006P</v>
      </c>
      <c r="D3" s="23"/>
      <c r="E3" s="2" t="s">
        <v>31</v>
      </c>
      <c r="F3" s="29" t="str">
        <f>VLOOKUP(B3,Base_lyc!B15:D30,3,FALSE)</f>
        <v>Nouméa</v>
      </c>
    </row>
    <row r="6" spans="2:18" ht="3" customHeight="1" x14ac:dyDescent="0.2"/>
    <row r="7" spans="2:18" ht="15.75" hidden="1" x14ac:dyDescent="0.2">
      <c r="B7" s="4" t="s">
        <v>19</v>
      </c>
      <c r="C7" s="4"/>
      <c r="D7" s="4"/>
      <c r="E7" s="4"/>
      <c r="F7" s="4"/>
      <c r="G7" s="4"/>
      <c r="H7" s="4"/>
    </row>
    <row r="8" spans="2:18" hidden="1" x14ac:dyDescent="0.2"/>
    <row r="9" spans="2:18" hidden="1" x14ac:dyDescent="0.2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 x14ac:dyDescent="0.2">
      <c r="B10" s="2" t="s">
        <v>30</v>
      </c>
      <c r="C10" s="2" t="s">
        <v>36</v>
      </c>
      <c r="E10" s="20" t="s">
        <v>42</v>
      </c>
    </row>
    <row r="11" spans="2:18" hidden="1" x14ac:dyDescent="0.2">
      <c r="B11" s="2" t="s">
        <v>26</v>
      </c>
      <c r="C11" s="2" t="s">
        <v>37</v>
      </c>
      <c r="E11" s="21" t="s">
        <v>43</v>
      </c>
    </row>
    <row r="12" spans="2:18" hidden="1" x14ac:dyDescent="0.2">
      <c r="B12" s="2" t="s">
        <v>27</v>
      </c>
      <c r="C12" s="2" t="s">
        <v>38</v>
      </c>
      <c r="E12" s="21" t="s">
        <v>13</v>
      </c>
    </row>
    <row r="13" spans="2:18" hidden="1" x14ac:dyDescent="0.2">
      <c r="B13" s="2" t="s">
        <v>28</v>
      </c>
      <c r="C13" s="10" t="s">
        <v>39</v>
      </c>
      <c r="E13" s="21"/>
    </row>
    <row r="14" spans="2:18" hidden="1" x14ac:dyDescent="0.2">
      <c r="E14" s="21" t="s">
        <v>14</v>
      </c>
    </row>
    <row r="20" spans="2:9" ht="15.75" x14ac:dyDescent="0.2">
      <c r="B20" s="11" t="s">
        <v>15</v>
      </c>
    </row>
    <row r="21" spans="2:9" x14ac:dyDescent="0.2">
      <c r="E21" s="33">
        <v>2012</v>
      </c>
      <c r="F21" s="91">
        <v>2022</v>
      </c>
      <c r="G21" s="113">
        <v>2023</v>
      </c>
      <c r="H21" s="114"/>
      <c r="I21" s="91">
        <v>2024</v>
      </c>
    </row>
    <row r="22" spans="2:9" x14ac:dyDescent="0.2">
      <c r="B22" s="2" t="s">
        <v>16</v>
      </c>
      <c r="E22" s="31">
        <f>VLOOKUP(B3,Base_lyc!B15:BD30,5,FALSE)</f>
        <v>1185</v>
      </c>
      <c r="F22" s="31">
        <f>VLOOKUP(B3,Base_lyc!B15:BD30,7,FALSE)</f>
        <v>883</v>
      </c>
      <c r="G22" s="115">
        <f>VLOOKUP(B3,Base_lyc!B15:BD30,9,FALSE)</f>
        <v>916</v>
      </c>
      <c r="H22" s="116"/>
      <c r="I22" s="31">
        <f>VLOOKUP(B3,Base_lyc!B15:BD30,11,FALSE)</f>
        <v>945</v>
      </c>
    </row>
    <row r="23" spans="2:9" s="9" customFormat="1" x14ac:dyDescent="0.2">
      <c r="B23" s="9" t="s">
        <v>45</v>
      </c>
      <c r="E23" s="31" t="str">
        <f>VLOOKUP(B3,Base_lyc!B15:BD30,6,FALSE)</f>
        <v>-</v>
      </c>
      <c r="F23" s="31">
        <f>VLOOKUP(B3,Base_lyc!B15:BD30,8,FALSE)</f>
        <v>113</v>
      </c>
      <c r="G23" s="115">
        <f>VLOOKUP(B3,Base_lyc!B15:BD30,10,FALSE)</f>
        <v>109</v>
      </c>
      <c r="H23" s="116"/>
      <c r="I23" s="31">
        <f>VLOOKUP(B3,Base_lyc!B15:BD30,12,FALSE)</f>
        <v>115</v>
      </c>
    </row>
    <row r="27" spans="2:9" x14ac:dyDescent="0.2">
      <c r="D27" s="2">
        <f t="shared" ref="D27:F28" si="0">E21</f>
        <v>2012</v>
      </c>
      <c r="E27" s="2">
        <f t="shared" si="0"/>
        <v>2022</v>
      </c>
      <c r="F27" s="2">
        <f t="shared" si="0"/>
        <v>2023</v>
      </c>
      <c r="G27" s="2">
        <f>I21</f>
        <v>2024</v>
      </c>
    </row>
    <row r="28" spans="2:9" x14ac:dyDescent="0.2">
      <c r="D28" s="2">
        <f t="shared" si="0"/>
        <v>1185</v>
      </c>
      <c r="E28" s="2">
        <f t="shared" si="0"/>
        <v>883</v>
      </c>
      <c r="F28" s="2">
        <f t="shared" si="0"/>
        <v>916</v>
      </c>
      <c r="G28" s="2">
        <f>I22</f>
        <v>945</v>
      </c>
    </row>
    <row r="39" spans="2:9" ht="15.75" x14ac:dyDescent="0.25">
      <c r="B39" s="5" t="s">
        <v>207</v>
      </c>
      <c r="C39" s="3"/>
      <c r="D39" s="3"/>
      <c r="E39" s="3"/>
      <c r="F39" s="3"/>
      <c r="G39" s="3"/>
      <c r="H39" s="3"/>
    </row>
    <row r="40" spans="2:9" x14ac:dyDescent="0.2">
      <c r="F40" s="106" t="s">
        <v>240</v>
      </c>
      <c r="G40" s="106"/>
      <c r="H40" s="106"/>
      <c r="I40" s="106"/>
    </row>
    <row r="41" spans="2:9" x14ac:dyDescent="0.2">
      <c r="F41" s="33" t="s">
        <v>17</v>
      </c>
      <c r="G41" s="117" t="str">
        <f>VLOOKUP(B3,Base_lyc!B15:C30,2,FALSE)</f>
        <v>Public</v>
      </c>
      <c r="H41" s="118"/>
      <c r="I41" s="45" t="s">
        <v>196</v>
      </c>
    </row>
    <row r="42" spans="2:9" x14ac:dyDescent="0.2">
      <c r="B42" s="2" t="s">
        <v>213</v>
      </c>
      <c r="F42" s="58">
        <f>VLOOKUP(B3,Base_lyc!B15:BD30,13,FALSE)</f>
        <v>96.755660000000006</v>
      </c>
      <c r="G42" s="119">
        <f>VLOOKUP(B3,Base_lyc!B15:BD30,14,FALSE)</f>
        <v>112.62664685714286</v>
      </c>
      <c r="H42" s="120"/>
      <c r="I42" s="58">
        <f>VLOOKUP(B3,Base_lyc!B15:BD30,15,FALSE)</f>
        <v>111.21047699999998</v>
      </c>
    </row>
    <row r="43" spans="2:9" x14ac:dyDescent="0.2">
      <c r="B43" s="2" t="s">
        <v>215</v>
      </c>
      <c r="F43" s="58">
        <f>VLOOKUP(B3,Base_lyc!B15:BD30,16,FALSE)</f>
        <v>58.2</v>
      </c>
      <c r="G43" s="119">
        <f>VLOOKUP(B3,Base_lyc!B15:BD30,17,FALSE)</f>
        <v>61.4</v>
      </c>
      <c r="H43" s="120"/>
      <c r="I43" s="58">
        <f>VLOOKUP(B3,Base_lyc!B15:BD30,18,FALSE)</f>
        <v>57</v>
      </c>
    </row>
    <row r="44" spans="2:9" x14ac:dyDescent="0.2">
      <c r="B44" s="2" t="s">
        <v>216</v>
      </c>
      <c r="F44" s="58">
        <f>VLOOKUP(B3,Base_lyc!B15:BD30,19,FALSE)</f>
        <v>6.7</v>
      </c>
      <c r="G44" s="119">
        <f>VLOOKUP(B3,Base_lyc!B15:BD30,20,FALSE)</f>
        <v>6.2</v>
      </c>
      <c r="H44" s="120"/>
      <c r="I44" s="58">
        <f>VLOOKUP(B3,Base_lyc!B15:BD30,21,FALSE)</f>
        <v>6.7</v>
      </c>
    </row>
    <row r="45" spans="2:9" x14ac:dyDescent="0.2">
      <c r="B45" s="2" t="s">
        <v>218</v>
      </c>
      <c r="F45" s="58">
        <f>VLOOKUP(B3,Base_lyc!B15:BD30,22,FALSE)</f>
        <v>82.4</v>
      </c>
      <c r="G45" s="119">
        <f>VLOOKUP(B3,Base_lyc!B15:BD30,23,FALSE)</f>
        <v>80.400000000000006</v>
      </c>
      <c r="H45" s="120"/>
      <c r="I45" s="58">
        <f>VLOOKUP(B3,Base_lyc!B15:BD30,24,FALSE)</f>
        <v>84.1</v>
      </c>
    </row>
    <row r="46" spans="2:9" x14ac:dyDescent="0.2">
      <c r="B46" s="2" t="s">
        <v>225</v>
      </c>
      <c r="F46" s="58">
        <f>VLOOKUP(B3,Base_lyc!BQ15:BT30,2,FALSE)</f>
        <v>56.692056583242653</v>
      </c>
      <c r="G46" s="119">
        <f>VLOOKUP(B3,Base_lyc!BQ15:BT30,3,FALSE)</f>
        <v>55.134281200631904</v>
      </c>
      <c r="H46" s="120"/>
      <c r="I46" s="58">
        <f>VLOOKUP(B3,Base_lyc!BQ15:BT30,4,FALSE)</f>
        <v>55.632062146892657</v>
      </c>
    </row>
    <row r="47" spans="2:9" x14ac:dyDescent="0.2">
      <c r="B47" s="2" t="s">
        <v>160</v>
      </c>
      <c r="F47" s="58">
        <f>VLOOKUP(B3,Base_lyc!B15:BD30,25,FALSE)</f>
        <v>20.2</v>
      </c>
      <c r="G47" s="119">
        <f>VLOOKUP(B3,Base_lyc!B15:BD30,26,FALSE)</f>
        <v>22.6</v>
      </c>
      <c r="H47" s="120"/>
      <c r="I47" s="58">
        <f>VLOOKUP(B3,Base_lyc!B15:BD30,27,FALSE)</f>
        <v>22.6</v>
      </c>
    </row>
    <row r="48" spans="2:9" x14ac:dyDescent="0.2">
      <c r="B48" s="2" t="s">
        <v>235</v>
      </c>
      <c r="F48" s="7">
        <f>VLOOKUP(B3,Base_lyc!BQ15:BZ30,5,FALSE)</f>
        <v>39.700000000000003</v>
      </c>
      <c r="G48" s="121">
        <f>VLOOKUP(B3,Base_lyc!BQ15:BZ30,6,FALSE)</f>
        <v>35.299999999999997</v>
      </c>
      <c r="H48" s="121"/>
      <c r="I48" s="7">
        <f>VLOOKUP(B3,Base_lyc!BQ15:BZ30,7,FALSE)</f>
        <v>39.1</v>
      </c>
    </row>
    <row r="49" spans="2:12" x14ac:dyDescent="0.2">
      <c r="B49" s="2" t="s">
        <v>236</v>
      </c>
      <c r="F49" s="71">
        <f>VLOOKUP(B3,Base_lyc!BQ15:BZ30,8,FALSE)</f>
        <v>18.2</v>
      </c>
      <c r="G49" s="122">
        <f>VLOOKUP(B3,Base_lyc!BQ15:BZ30,9,FALSE)</f>
        <v>19.399999999999999</v>
      </c>
      <c r="H49" s="122"/>
      <c r="I49" s="71">
        <f>VLOOKUP(B3,Base_lyc!BQ15:BZ30,10,FALSE)</f>
        <v>19.2</v>
      </c>
    </row>
    <row r="50" spans="2:12" x14ac:dyDescent="0.2">
      <c r="F50" s="46"/>
      <c r="G50" s="46"/>
      <c r="H50" s="46"/>
      <c r="I50" s="46"/>
    </row>
    <row r="51" spans="2:12" x14ac:dyDescent="0.2">
      <c r="B51" s="47" t="s">
        <v>237</v>
      </c>
      <c r="F51" s="14"/>
      <c r="G51" s="14"/>
      <c r="H51" s="14"/>
      <c r="I51" s="14"/>
    </row>
    <row r="52" spans="2:12" ht="16.5" hidden="1" customHeight="1" x14ac:dyDescent="0.2">
      <c r="B52" s="15" t="s">
        <v>127</v>
      </c>
      <c r="C52" s="16"/>
      <c r="D52" s="16"/>
      <c r="E52" s="16"/>
      <c r="F52" s="16"/>
      <c r="G52" s="16"/>
      <c r="H52" s="16"/>
      <c r="I52" s="17" t="s">
        <v>6</v>
      </c>
    </row>
    <row r="53" spans="2:12" ht="19.5" hidden="1" customHeight="1" x14ac:dyDescent="0.2">
      <c r="B53" s="12" t="s">
        <v>2</v>
      </c>
      <c r="C53" s="107" t="s">
        <v>1</v>
      </c>
      <c r="D53" s="108"/>
      <c r="E53" s="109" t="s">
        <v>3</v>
      </c>
      <c r="F53" s="110"/>
      <c r="G53" s="111" t="s">
        <v>4</v>
      </c>
      <c r="H53" s="111"/>
      <c r="I53" s="112"/>
    </row>
    <row r="54" spans="2:12" hidden="1" x14ac:dyDescent="0.2">
      <c r="J54" s="32"/>
      <c r="K54" s="41"/>
      <c r="L54" s="32">
        <v>6.5</v>
      </c>
    </row>
    <row r="55" spans="2:12" hidden="1" x14ac:dyDescent="0.2">
      <c r="J55" s="32"/>
      <c r="K55" s="32"/>
      <c r="L55" s="32">
        <v>0</v>
      </c>
    </row>
    <row r="58" spans="2:12" ht="15.75" x14ac:dyDescent="0.25">
      <c r="B58" s="5" t="s">
        <v>0</v>
      </c>
    </row>
    <row r="59" spans="2:12" x14ac:dyDescent="0.2">
      <c r="F59" s="106" t="s">
        <v>240</v>
      </c>
      <c r="G59" s="106"/>
      <c r="H59" s="106"/>
      <c r="I59" s="106"/>
    </row>
    <row r="60" spans="2:12" x14ac:dyDescent="0.2">
      <c r="F60" s="6" t="s">
        <v>17</v>
      </c>
      <c r="G60" s="117" t="str">
        <f>VLOOKUP(B3,Base_lyc!B15:C30,2,FALSE)</f>
        <v>Public</v>
      </c>
      <c r="H60" s="118"/>
      <c r="I60" s="45" t="s">
        <v>196</v>
      </c>
    </row>
    <row r="61" spans="2:12" x14ac:dyDescent="0.2">
      <c r="B61" s="2" t="s">
        <v>20</v>
      </c>
      <c r="F61" s="129">
        <f>VLOOKUP(B3,Base_lyc!B15:BD30,28,FALSE)</f>
        <v>1.93</v>
      </c>
      <c r="G61" s="125">
        <f>VLOOKUP(B3,Base_lyc!B15:BD30,29,FALSE)</f>
        <v>2.09</v>
      </c>
      <c r="H61" s="126"/>
      <c r="I61" s="129">
        <f>VLOOKUP(B3,Base_lyc!B15:BD30,30,FALSE)</f>
        <v>2.0699999999999998</v>
      </c>
    </row>
    <row r="62" spans="2:12" x14ac:dyDescent="0.2">
      <c r="B62" s="2" t="s">
        <v>161</v>
      </c>
      <c r="F62" s="130"/>
      <c r="G62" s="127"/>
      <c r="H62" s="128"/>
      <c r="I62" s="130"/>
    </row>
    <row r="63" spans="2:12" x14ac:dyDescent="0.2">
      <c r="B63" s="2" t="s">
        <v>242</v>
      </c>
      <c r="F63" s="58">
        <f>VLOOKUP(B3,Base_lyc!B15:BD30,31,FALSE)</f>
        <v>25.26</v>
      </c>
      <c r="G63" s="119">
        <f>VLOOKUP(B3,Base_lyc!B15:BD30,32,FALSE)</f>
        <v>21.89</v>
      </c>
      <c r="H63" s="120"/>
      <c r="I63" s="70">
        <f>VLOOKUP(B3,Base_lyc!B15:BD30,33,FALSE)</f>
        <v>21.65</v>
      </c>
    </row>
    <row r="65" spans="2:12" ht="16.5" hidden="1" customHeight="1" x14ac:dyDescent="0.2">
      <c r="B65" s="15" t="s">
        <v>128</v>
      </c>
      <c r="C65" s="16"/>
      <c r="D65" s="16"/>
      <c r="E65" s="16"/>
      <c r="F65" s="16"/>
      <c r="G65" s="16"/>
      <c r="H65" s="16"/>
      <c r="I65" s="17" t="s">
        <v>5</v>
      </c>
    </row>
    <row r="66" spans="2:12" ht="19.5" hidden="1" customHeight="1" x14ac:dyDescent="0.2">
      <c r="B66" s="12" t="s">
        <v>2</v>
      </c>
      <c r="C66" s="107" t="s">
        <v>1</v>
      </c>
      <c r="D66" s="108"/>
      <c r="E66" s="109" t="s">
        <v>3</v>
      </c>
      <c r="F66" s="110"/>
      <c r="G66" s="111" t="s">
        <v>4</v>
      </c>
      <c r="H66" s="111"/>
      <c r="I66" s="112"/>
    </row>
    <row r="67" spans="2:12" hidden="1" x14ac:dyDescent="0.2">
      <c r="J67" s="32"/>
      <c r="K67" s="41"/>
      <c r="L67" s="32">
        <v>6.5</v>
      </c>
    </row>
    <row r="68" spans="2:12" hidden="1" x14ac:dyDescent="0.2">
      <c r="J68" s="32"/>
      <c r="K68" s="32"/>
      <c r="L68" s="32">
        <v>0</v>
      </c>
    </row>
    <row r="71" spans="2:12" ht="15.75" x14ac:dyDescent="0.25">
      <c r="B71" s="5" t="s">
        <v>21</v>
      </c>
    </row>
    <row r="72" spans="2:12" x14ac:dyDescent="0.2">
      <c r="F72" s="106" t="s">
        <v>240</v>
      </c>
      <c r="G72" s="106"/>
      <c r="H72" s="106"/>
      <c r="I72" s="106"/>
    </row>
    <row r="73" spans="2:12" x14ac:dyDescent="0.2">
      <c r="F73" s="33" t="s">
        <v>17</v>
      </c>
      <c r="G73" s="117" t="str">
        <f>VLOOKUP(B3,Base_lyc!B15:C30,2,FALSE)</f>
        <v>Public</v>
      </c>
      <c r="H73" s="118"/>
      <c r="I73" s="45" t="s">
        <v>196</v>
      </c>
    </row>
    <row r="74" spans="2:12" hidden="1" x14ac:dyDescent="0.2">
      <c r="B74" s="2" t="s">
        <v>22</v>
      </c>
      <c r="F74" s="7">
        <f>VLOOKUP(B3,Base_lyc!B15:BP30,56,FALSE)</f>
        <v>0</v>
      </c>
      <c r="G74" s="123">
        <f>VLOOKUP(B3,Base_lyc!B15:BP30,57,FALSE)</f>
        <v>0</v>
      </c>
      <c r="H74" s="124"/>
      <c r="I74" s="7">
        <f>VLOOKUP(B3,Base_lyc!B15:BP30,58,FALSE)</f>
        <v>0</v>
      </c>
    </row>
    <row r="75" spans="2:12" x14ac:dyDescent="0.2">
      <c r="B75" s="2" t="s">
        <v>23</v>
      </c>
      <c r="F75" s="58">
        <f>VLOOKUP(B3,Base_lyc!B15:BP30,59,FALSE)</f>
        <v>92.7</v>
      </c>
      <c r="G75" s="119">
        <f>VLOOKUP(B3,Base_lyc!B15:BP30,60,FALSE)</f>
        <v>86.5</v>
      </c>
      <c r="H75" s="120"/>
      <c r="I75" s="58">
        <f>VLOOKUP(B3,Base_lyc!B15:BP30,61,FALSE)</f>
        <v>79.3</v>
      </c>
    </row>
    <row r="76" spans="2:12" x14ac:dyDescent="0.2">
      <c r="B76" s="2" t="s">
        <v>24</v>
      </c>
      <c r="F76" s="58">
        <f>VLOOKUP(B3,Base_lyc!B15:BP30,62,FALSE)</f>
        <v>8.8000000000000007</v>
      </c>
      <c r="G76" s="119">
        <f>VLOOKUP(B3,Base_lyc!B15:BP30,63,FALSE)</f>
        <v>5.8</v>
      </c>
      <c r="H76" s="120"/>
      <c r="I76" s="58">
        <f>VLOOKUP(B3,Base_lyc!B15:BP30,64,FALSE)</f>
        <v>6.4</v>
      </c>
    </row>
    <row r="77" spans="2:12" x14ac:dyDescent="0.2">
      <c r="B77" s="2" t="s">
        <v>25</v>
      </c>
      <c r="F77" s="58">
        <f>VLOOKUP(B3,Base_lyc!B15:BP30,65,FALSE)</f>
        <v>48.7</v>
      </c>
      <c r="G77" s="119">
        <f>VLOOKUP(B3,Base_lyc!B15:BP30,66,FALSE)</f>
        <v>45.1</v>
      </c>
      <c r="H77" s="120"/>
      <c r="I77" s="58">
        <f>VLOOKUP(B3,Base_lyc!B15:BP30,67,FALSE)</f>
        <v>45.8</v>
      </c>
    </row>
    <row r="86" spans="2:12" ht="15.75" x14ac:dyDescent="0.25">
      <c r="B86" s="5" t="s">
        <v>7</v>
      </c>
    </row>
    <row r="87" spans="2:12" x14ac:dyDescent="0.2">
      <c r="F87" s="106" t="s">
        <v>241</v>
      </c>
      <c r="G87" s="106"/>
      <c r="H87" s="106"/>
      <c r="I87" s="106"/>
    </row>
    <row r="88" spans="2:12" x14ac:dyDescent="0.2">
      <c r="F88" s="33" t="s">
        <v>17</v>
      </c>
      <c r="G88" s="33" t="s">
        <v>10</v>
      </c>
      <c r="H88" s="37" t="str">
        <f>VLOOKUP(B3,Base_lyc!B15:C30,2,FALSE)</f>
        <v>Public</v>
      </c>
      <c r="I88" s="45" t="s">
        <v>196</v>
      </c>
    </row>
    <row r="89" spans="2:12" x14ac:dyDescent="0.2">
      <c r="B89" s="2" t="s">
        <v>184</v>
      </c>
      <c r="E89" s="34"/>
      <c r="F89" s="66">
        <f>VLOOKUP(B3,Base_lyc!B15:BD30,34,FALSE)</f>
        <v>87</v>
      </c>
      <c r="G89" s="67" t="s">
        <v>12</v>
      </c>
      <c r="H89" s="68">
        <f>VLOOKUP(B3,Base_lyc!B15:BD30,35,FALSE)</f>
        <v>88.3</v>
      </c>
      <c r="I89" s="66">
        <f>VLOOKUP(B3,Base_lyc!B15:BD30,36,FALSE)</f>
        <v>85.6</v>
      </c>
    </row>
    <row r="90" spans="2:12" s="9" customFormat="1" x14ac:dyDescent="0.2">
      <c r="B90" s="9" t="s">
        <v>228</v>
      </c>
      <c r="E90" s="57"/>
      <c r="F90" s="66">
        <f>VLOOKUP(B3,Base_lyc!B15:BD30,37,FALSE)</f>
        <v>3.5</v>
      </c>
      <c r="G90" s="67" t="s">
        <v>12</v>
      </c>
      <c r="H90" s="68">
        <f>VLOOKUP(B3,Base_lyc!B15:BD30,38,FALSE)</f>
        <v>2.9</v>
      </c>
      <c r="I90" s="66">
        <f>VLOOKUP(B3,Base_lyc!B15:BD30,39,FALSE)</f>
        <v>2.5</v>
      </c>
      <c r="K90" s="2"/>
      <c r="L90" s="2"/>
    </row>
    <row r="91" spans="2:12" x14ac:dyDescent="0.2">
      <c r="B91" s="2" t="s">
        <v>188</v>
      </c>
      <c r="E91" s="34"/>
      <c r="F91" s="58">
        <f>VLOOKUP(B3,Base_lyc!B15:BD30,40,FALSE)</f>
        <v>2.2000000000000002</v>
      </c>
      <c r="G91" s="59" t="s">
        <v>12</v>
      </c>
      <c r="H91" s="60">
        <f>VLOOKUP(B3,Base_lyc!B15:BD30,41,FALSE)</f>
        <v>2.2999999999999998</v>
      </c>
      <c r="I91" s="58">
        <f>VLOOKUP(B3,Base_lyc!B15:BD30,42,FALSE)</f>
        <v>3.5</v>
      </c>
    </row>
    <row r="92" spans="2:12" x14ac:dyDescent="0.2">
      <c r="B92" s="2" t="s">
        <v>185</v>
      </c>
      <c r="E92" s="34"/>
      <c r="F92" s="58" t="str">
        <f>VLOOKUP(B3,Base_lyc!B15:BD30,43,FALSE)</f>
        <v>56</v>
      </c>
      <c r="G92" s="74" t="str">
        <f>VLOOKUP(B3,Base_lyc!B15:BD30,44,FALSE)</f>
        <v>-9</v>
      </c>
      <c r="H92" s="60" t="s">
        <v>12</v>
      </c>
      <c r="I92" s="58" t="s">
        <v>12</v>
      </c>
    </row>
    <row r="93" spans="2:12" x14ac:dyDescent="0.2">
      <c r="B93" s="2" t="s">
        <v>186</v>
      </c>
      <c r="E93" s="34"/>
      <c r="F93" s="58" t="str">
        <f>VLOOKUP(B3,Base_lyc!B15:BD30,45,FALSE)</f>
        <v>66</v>
      </c>
      <c r="G93" s="74" t="str">
        <f>VLOOKUP(B3,Base_lyc!B15:BD30,46,FALSE)</f>
        <v>-10</v>
      </c>
      <c r="H93" s="60" t="s">
        <v>12</v>
      </c>
      <c r="I93" s="58" t="s">
        <v>12</v>
      </c>
    </row>
    <row r="94" spans="2:12" x14ac:dyDescent="0.2">
      <c r="B94" s="2" t="s">
        <v>187</v>
      </c>
      <c r="E94" s="34"/>
      <c r="F94" s="58" t="str">
        <f>VLOOKUP(B3,Base_lyc!B15:BD30,47,FALSE)</f>
        <v>74</v>
      </c>
      <c r="G94" s="74" t="str">
        <f>VLOOKUP(B3,Base_lyc!B15:BD30,48,FALSE)</f>
        <v>-12</v>
      </c>
      <c r="H94" s="60" t="s">
        <v>12</v>
      </c>
      <c r="I94" s="58" t="s">
        <v>12</v>
      </c>
    </row>
    <row r="96" spans="2:12" hidden="1" x14ac:dyDescent="0.2">
      <c r="B96" s="15" t="s">
        <v>178</v>
      </c>
      <c r="C96" s="16"/>
      <c r="D96" s="16"/>
      <c r="E96" s="16"/>
      <c r="F96" s="16"/>
      <c r="G96" s="16"/>
      <c r="H96" s="16"/>
      <c r="I96" s="17" t="s">
        <v>11</v>
      </c>
    </row>
    <row r="97" spans="2:25" ht="18" hidden="1" x14ac:dyDescent="0.2">
      <c r="B97" s="12" t="s">
        <v>2</v>
      </c>
      <c r="C97" s="107" t="s">
        <v>1</v>
      </c>
      <c r="D97" s="108"/>
      <c r="E97" s="109" t="s">
        <v>3</v>
      </c>
      <c r="F97" s="110"/>
      <c r="G97" s="111" t="s">
        <v>4</v>
      </c>
      <c r="H97" s="111"/>
      <c r="I97" s="112"/>
    </row>
    <row r="98" spans="2:25" hidden="1" x14ac:dyDescent="0.2">
      <c r="J98" s="32"/>
      <c r="K98" s="41"/>
      <c r="L98" s="32">
        <v>6.5</v>
      </c>
    </row>
    <row r="99" spans="2:25" hidden="1" x14ac:dyDescent="0.2">
      <c r="J99" s="32"/>
      <c r="K99" s="32"/>
      <c r="L99" s="32">
        <v>0</v>
      </c>
    </row>
    <row r="101" spans="2:25" ht="15.75" x14ac:dyDescent="0.25">
      <c r="B101" s="5" t="s">
        <v>9</v>
      </c>
    </row>
    <row r="102" spans="2:25" x14ac:dyDescent="0.2">
      <c r="F102" s="106" t="s">
        <v>240</v>
      </c>
      <c r="G102" s="106"/>
      <c r="H102" s="106"/>
      <c r="I102" s="106"/>
      <c r="J102" s="25"/>
    </row>
    <row r="103" spans="2:25" x14ac:dyDescent="0.2">
      <c r="F103" s="24" t="s">
        <v>17</v>
      </c>
      <c r="G103" s="33" t="s">
        <v>10</v>
      </c>
      <c r="H103" s="37" t="str">
        <f>VLOOKUP(B3,Base_lyc!B15:C30,2,FALSE)</f>
        <v>Public</v>
      </c>
      <c r="I103" s="45" t="s">
        <v>196</v>
      </c>
    </row>
    <row r="104" spans="2:25" x14ac:dyDescent="0.2">
      <c r="B104" s="2" t="s">
        <v>190</v>
      </c>
      <c r="E104" s="34"/>
      <c r="F104" s="58">
        <f>VLOOKUP(B3,Base_lyc!B15:BD30,49,FALSE)</f>
        <v>70.599999999999994</v>
      </c>
      <c r="G104" s="75" t="str">
        <f>VLOOKUP(B3,Base_lyc!B15:BD30,50,FALSE)</f>
        <v>-15</v>
      </c>
      <c r="H104" s="69">
        <f>VLOOKUP(B3,Base_lyc!B15:BD30,51,FALSE)</f>
        <v>67.3</v>
      </c>
      <c r="I104" s="58">
        <f>VLOOKUP(B3,Base_lyc!B15:BD30,52,FALSE)</f>
        <v>68.099999999999994</v>
      </c>
    </row>
    <row r="105" spans="2:25" x14ac:dyDescent="0.2">
      <c r="B105" s="2" t="s">
        <v>49</v>
      </c>
      <c r="E105" s="34"/>
      <c r="F105" s="58">
        <f>VLOOKUP(B3,Base_lyc!B15:BD30,53,FALSE)</f>
        <v>51.1</v>
      </c>
      <c r="G105" s="59" t="s">
        <v>12</v>
      </c>
      <c r="H105" s="60">
        <f>VLOOKUP(B3,Base_lyc!B15:BD30,54,FALSE)</f>
        <v>53.8</v>
      </c>
      <c r="I105" s="58">
        <f>VLOOKUP(B3,Base_lyc!B15:BD30,55,FALSE)</f>
        <v>59.2</v>
      </c>
    </row>
    <row r="109" spans="2:25" ht="15.75" x14ac:dyDescent="0.2">
      <c r="B109" s="8" t="s">
        <v>8</v>
      </c>
    </row>
    <row r="110" spans="2:25" x14ac:dyDescent="0.2">
      <c r="Y110" s="22"/>
    </row>
    <row r="113" spans="10:25" x14ac:dyDescent="0.2">
      <c r="K113" s="9"/>
      <c r="O113" s="27"/>
      <c r="P113" s="50"/>
    </row>
    <row r="114" spans="10:25" x14ac:dyDescent="0.2">
      <c r="J114" s="1" t="s">
        <v>195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</row>
    <row r="115" spans="10:25" ht="51" x14ac:dyDescent="0.2">
      <c r="J115" s="55" t="s">
        <v>8</v>
      </c>
      <c r="K115" s="42" t="s">
        <v>212</v>
      </c>
      <c r="L115" s="42" t="s">
        <v>206</v>
      </c>
      <c r="M115" s="42" t="s">
        <v>191</v>
      </c>
      <c r="N115" s="42" t="s">
        <v>32</v>
      </c>
      <c r="O115" s="42" t="s">
        <v>34</v>
      </c>
      <c r="P115" s="42" t="s">
        <v>192</v>
      </c>
      <c r="Q115" s="42" t="s">
        <v>193</v>
      </c>
      <c r="R115" s="42" t="s">
        <v>194</v>
      </c>
      <c r="S115" s="42" t="s">
        <v>33</v>
      </c>
      <c r="T115" s="62"/>
      <c r="U115" s="62"/>
    </row>
    <row r="116" spans="10:25" x14ac:dyDescent="0.2">
      <c r="J116" s="1" t="s">
        <v>17</v>
      </c>
      <c r="K116" s="44">
        <f>VLOOKUP(B3,Base_lyc!B50:M65,5,FALSE)</f>
        <v>2.1883324508398081</v>
      </c>
      <c r="L116" s="44">
        <f>VLOOKUP(B3,Base_lyc!B50:M65,6,FALSE)</f>
        <v>-0.75892857142856618</v>
      </c>
      <c r="M116" s="44">
        <f>VLOOKUP(B3,Base_lyc!B50:M65,7,FALSE)</f>
        <v>0.24000000000000021</v>
      </c>
      <c r="N116" s="44">
        <f>VLOOKUP(B3,Base_lyc!B50:M65,8,FALSE)</f>
        <v>-0.44585987261146459</v>
      </c>
      <c r="O116" s="44">
        <f>VLOOKUP(B3,Base_lyc!B50:M65,9,FALSE)</f>
        <v>-3.3</v>
      </c>
      <c r="P116" s="44">
        <f>VLOOKUP(B3,Base_lyc!B50:M65,10,FALSE)</f>
        <v>0.31531531531531659</v>
      </c>
      <c r="Q116" s="44">
        <f>VLOOKUP(B3,Base_lyc!B50:M65,11,FALSE)</f>
        <v>0.80745341614906818</v>
      </c>
      <c r="R116" s="44">
        <f>VLOOKUP(B3,Base_lyc!B50:M65,12,FALSE)</f>
        <v>0.66666666666666663</v>
      </c>
      <c r="S116" s="44">
        <f>VLOOKUP(B3,Base_lyc!B50:O65,13,FALSE)</f>
        <v>0</v>
      </c>
      <c r="T116" s="9"/>
      <c r="U116" s="9"/>
      <c r="Y116" s="13"/>
    </row>
    <row r="117" spans="10:25" x14ac:dyDescent="0.2">
      <c r="J117" s="1" t="s">
        <v>196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9"/>
      <c r="U117" s="9"/>
      <c r="Y117" s="34"/>
    </row>
    <row r="125" spans="10:25" x14ac:dyDescent="0.2"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0:25" x14ac:dyDescent="0.2"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0:25" x14ac:dyDescent="0.2"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0:25" x14ac:dyDescent="0.2"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1:19" x14ac:dyDescent="0.2"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1:19" x14ac:dyDescent="0.2"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1:19" x14ac:dyDescent="0.2"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1:19" x14ac:dyDescent="0.2"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1:19" x14ac:dyDescent="0.2"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1:19" x14ac:dyDescent="0.2"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1:19" x14ac:dyDescent="0.2"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1:19" x14ac:dyDescent="0.2"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1:19" x14ac:dyDescent="0.2"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1:19" x14ac:dyDescent="0.2"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1:19" x14ac:dyDescent="0.2">
      <c r="K139" s="13"/>
      <c r="L139" s="13"/>
      <c r="M139" s="13"/>
      <c r="N139" s="13"/>
      <c r="O139" s="40"/>
      <c r="P139" s="40"/>
      <c r="Q139" s="40"/>
      <c r="R139" s="40"/>
      <c r="S139" s="13"/>
    </row>
    <row r="140" spans="11:19" x14ac:dyDescent="0.2"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1:19" x14ac:dyDescent="0.2"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1:19" x14ac:dyDescent="0.2"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1:19" x14ac:dyDescent="0.2"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1:19" x14ac:dyDescent="0.2"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1:19" x14ac:dyDescent="0.2"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1:19" x14ac:dyDescent="0.2">
      <c r="K146" s="13"/>
      <c r="L146" s="13"/>
      <c r="M146" s="13"/>
      <c r="N146" s="13"/>
      <c r="O146" s="13"/>
      <c r="P146" s="13"/>
      <c r="Q146" s="13"/>
      <c r="R146" s="13"/>
      <c r="S146" s="13"/>
    </row>
  </sheetData>
  <mergeCells count="37">
    <mergeCell ref="G49:H49"/>
    <mergeCell ref="C97:D97"/>
    <mergeCell ref="E97:F97"/>
    <mergeCell ref="G97:I97"/>
    <mergeCell ref="F59:I59"/>
    <mergeCell ref="G60:H60"/>
    <mergeCell ref="F102:I102"/>
    <mergeCell ref="F61:F62"/>
    <mergeCell ref="I61:I62"/>
    <mergeCell ref="C66:D66"/>
    <mergeCell ref="E66:F66"/>
    <mergeCell ref="G66:I66"/>
    <mergeCell ref="G75:H75"/>
    <mergeCell ref="G76:H76"/>
    <mergeCell ref="G77:H77"/>
    <mergeCell ref="F87:I87"/>
    <mergeCell ref="G61:H62"/>
    <mergeCell ref="G63:H63"/>
    <mergeCell ref="G73:H73"/>
    <mergeCell ref="G74:H74"/>
    <mergeCell ref="F72:I72"/>
    <mergeCell ref="B1:I1"/>
    <mergeCell ref="F40:I40"/>
    <mergeCell ref="C53:D53"/>
    <mergeCell ref="E53:F53"/>
    <mergeCell ref="G53:I53"/>
    <mergeCell ref="G21:H21"/>
    <mergeCell ref="G22:H22"/>
    <mergeCell ref="G23:H23"/>
    <mergeCell ref="G41:H41"/>
    <mergeCell ref="G42:H42"/>
    <mergeCell ref="G43:H43"/>
    <mergeCell ref="G44:H44"/>
    <mergeCell ref="G45:H45"/>
    <mergeCell ref="G47:H47"/>
    <mergeCell ref="G46:H46"/>
    <mergeCell ref="G48:H48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7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Base_lyc!$A$15:$A$30</xm:f>
          </x14:formula1>
          <xm:sqref>B1:I1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Z111"/>
  <sheetViews>
    <sheetView zoomScaleNormal="100" workbookViewId="0">
      <pane xSplit="3" ySplit="1" topLeftCell="D2" activePane="bottomRight" state="frozen"/>
      <selection activeCell="B1" sqref="B1:I1"/>
      <selection pane="topRight" activeCell="B1" sqref="B1:I1"/>
      <selection pane="bottomLeft" activeCell="B1" sqref="B1:I1"/>
      <selection pane="bottomRight" activeCell="BT35" sqref="BT35"/>
    </sheetView>
  </sheetViews>
  <sheetFormatPr baseColWidth="10" defaultColWidth="11.42578125" defaultRowHeight="12.75" x14ac:dyDescent="0.2"/>
  <cols>
    <col min="1" max="1" width="62.28515625" style="2" bestFit="1" customWidth="1"/>
    <col min="2" max="2" width="9.28515625" style="2" bestFit="1" customWidth="1"/>
    <col min="3" max="3" width="16.140625" style="2" bestFit="1" customWidth="1"/>
    <col min="4" max="4" width="12.140625" style="2" customWidth="1"/>
    <col min="5" max="5" width="16.140625" style="2" bestFit="1" customWidth="1"/>
    <col min="6" max="6" width="14.42578125" style="9" bestFit="1" customWidth="1"/>
    <col min="7" max="7" width="15.42578125" style="9" bestFit="1" customWidth="1"/>
    <col min="8" max="8" width="14.42578125" style="9" bestFit="1" customWidth="1"/>
    <col min="9" max="9" width="15.42578125" style="9" bestFit="1" customWidth="1"/>
    <col min="10" max="10" width="14.42578125" style="9" bestFit="1" customWidth="1"/>
    <col min="11" max="11" width="15.42578125" style="9" bestFit="1" customWidth="1"/>
    <col min="12" max="13" width="15.42578125" style="9" customWidth="1"/>
    <col min="14" max="14" width="9.28515625" style="9" bestFit="1" customWidth="1"/>
    <col min="15" max="16" width="8.7109375" style="51" bestFit="1" customWidth="1"/>
    <col min="17" max="17" width="12" style="51" bestFit="1" customWidth="1"/>
    <col min="18" max="19" width="11.42578125" style="51"/>
    <col min="20" max="20" width="12.28515625" style="51" bestFit="1" customWidth="1"/>
    <col min="21" max="22" width="11.7109375" style="51" bestFit="1" customWidth="1"/>
    <col min="23" max="23" width="8" style="51" bestFit="1" customWidth="1"/>
    <col min="24" max="25" width="7.42578125" style="51" bestFit="1" customWidth="1"/>
    <col min="26" max="26" width="10.28515625" style="51" bestFit="1" customWidth="1"/>
    <col min="27" max="28" width="9.7109375" style="51" bestFit="1" customWidth="1"/>
    <col min="29" max="29" width="8.140625" style="51" bestFit="1" customWidth="1"/>
    <col min="30" max="31" width="7.5703125" style="51" bestFit="1" customWidth="1"/>
    <col min="32" max="32" width="8.140625" style="51" bestFit="1" customWidth="1"/>
    <col min="33" max="34" width="7.5703125" style="51" bestFit="1" customWidth="1"/>
    <col min="35" max="35" width="17.7109375" style="51" bestFit="1" customWidth="1"/>
    <col min="36" max="37" width="17.140625" style="51" bestFit="1" customWidth="1"/>
    <col min="38" max="38" width="17.28515625" style="51" bestFit="1" customWidth="1"/>
    <col min="39" max="40" width="16.7109375" style="51" bestFit="1" customWidth="1"/>
    <col min="41" max="41" width="12.140625" style="51" bestFit="1" customWidth="1"/>
    <col min="42" max="43" width="11.5703125" style="51" bestFit="1" customWidth="1"/>
    <col min="44" max="44" width="16.28515625" style="51" bestFit="1" customWidth="1"/>
    <col min="45" max="45" width="15.5703125" style="51" bestFit="1" customWidth="1"/>
    <col min="46" max="46" width="14.140625" style="53" bestFit="1" customWidth="1"/>
    <col min="47" max="47" width="13.5703125" style="53" bestFit="1" customWidth="1"/>
    <col min="48" max="48" width="14.5703125" style="53" bestFit="1" customWidth="1"/>
    <col min="49" max="49" width="14" style="53" bestFit="1" customWidth="1"/>
    <col min="50" max="50" width="20.7109375" style="51" customWidth="1"/>
    <col min="51" max="51" width="19.140625" style="51" customWidth="1"/>
    <col min="52" max="52" width="25.7109375" style="51" customWidth="1"/>
    <col min="53" max="53" width="14.5703125" style="51" customWidth="1"/>
    <col min="54" max="54" width="17.5703125" style="51" bestFit="1" customWidth="1"/>
    <col min="55" max="56" width="17" style="51" bestFit="1" customWidth="1"/>
    <col min="57" max="57" width="12.28515625" style="51" hidden="1" customWidth="1"/>
    <col min="58" max="59" width="11.7109375" style="51" hidden="1" customWidth="1"/>
    <col min="60" max="60" width="11.140625" style="51" bestFit="1" customWidth="1"/>
    <col min="61" max="62" width="10.5703125" style="51" bestFit="1" customWidth="1"/>
    <col min="63" max="63" width="8.5703125" style="51" bestFit="1" customWidth="1"/>
    <col min="64" max="65" width="8" style="51" bestFit="1" customWidth="1"/>
    <col min="66" max="66" width="8.5703125" style="51" bestFit="1" customWidth="1"/>
    <col min="67" max="68" width="8" style="51" bestFit="1" customWidth="1"/>
    <col min="69" max="69" width="9.28515625" style="51" bestFit="1" customWidth="1"/>
    <col min="70" max="70" width="12.5703125" style="2" customWidth="1"/>
    <col min="71" max="72" width="11.42578125" style="2"/>
    <col min="73" max="73" width="14" style="2" bestFit="1" customWidth="1"/>
    <col min="74" max="74" width="13.42578125" style="2" bestFit="1" customWidth="1"/>
    <col min="75" max="75" width="13.5703125" style="2" bestFit="1" customWidth="1"/>
    <col min="76" max="76" width="17.7109375" style="2" bestFit="1" customWidth="1"/>
    <col min="77" max="77" width="17.140625" style="2" bestFit="1" customWidth="1"/>
    <col min="78" max="78" width="17.28515625" style="2" bestFit="1" customWidth="1"/>
    <col min="79" max="16384" width="11.42578125" style="2"/>
  </cols>
  <sheetData>
    <row r="1" spans="1:78" s="9" customFormat="1" x14ac:dyDescent="0.2">
      <c r="A1" s="9" t="s">
        <v>96</v>
      </c>
      <c r="B1" s="9" t="s">
        <v>159</v>
      </c>
      <c r="C1" s="9" t="s">
        <v>77</v>
      </c>
      <c r="D1" s="9" t="s">
        <v>79</v>
      </c>
      <c r="E1" s="9" t="s">
        <v>78</v>
      </c>
      <c r="F1" s="9" t="s">
        <v>150</v>
      </c>
      <c r="G1" s="9" t="s">
        <v>151</v>
      </c>
      <c r="H1" s="9" t="s">
        <v>219</v>
      </c>
      <c r="I1" s="9" t="s">
        <v>220</v>
      </c>
      <c r="J1" s="9" t="s">
        <v>226</v>
      </c>
      <c r="K1" s="9" t="s">
        <v>227</v>
      </c>
      <c r="L1" s="9" t="s">
        <v>238</v>
      </c>
      <c r="M1" s="9" t="s">
        <v>239</v>
      </c>
      <c r="N1" s="51" t="s">
        <v>209</v>
      </c>
      <c r="O1" s="51" t="s">
        <v>210</v>
      </c>
      <c r="P1" s="51" t="s">
        <v>211</v>
      </c>
      <c r="Q1" s="51" t="s">
        <v>97</v>
      </c>
      <c r="R1" s="51" t="s">
        <v>98</v>
      </c>
      <c r="S1" s="51" t="s">
        <v>99</v>
      </c>
      <c r="T1" s="51" t="s">
        <v>100</v>
      </c>
      <c r="U1" s="51" t="s">
        <v>101</v>
      </c>
      <c r="V1" s="51" t="s">
        <v>102</v>
      </c>
      <c r="W1" s="51" t="s">
        <v>103</v>
      </c>
      <c r="X1" s="51" t="s">
        <v>104</v>
      </c>
      <c r="Y1" s="51" t="s">
        <v>105</v>
      </c>
      <c r="Z1" s="51" t="s">
        <v>106</v>
      </c>
      <c r="AA1" s="51" t="s">
        <v>107</v>
      </c>
      <c r="AB1" s="51" t="s">
        <v>108</v>
      </c>
      <c r="AC1" s="51" t="s">
        <v>109</v>
      </c>
      <c r="AD1" s="51" t="s">
        <v>110</v>
      </c>
      <c r="AE1" s="51" t="s">
        <v>111</v>
      </c>
      <c r="AF1" s="51" t="s">
        <v>112</v>
      </c>
      <c r="AG1" s="51" t="s">
        <v>113</v>
      </c>
      <c r="AH1" s="51" t="s">
        <v>114</v>
      </c>
      <c r="AI1" s="51" t="s">
        <v>200</v>
      </c>
      <c r="AJ1" s="51" t="s">
        <v>201</v>
      </c>
      <c r="AK1" s="51" t="s">
        <v>202</v>
      </c>
      <c r="AL1" s="51" t="s">
        <v>171</v>
      </c>
      <c r="AM1" s="51" t="s">
        <v>172</v>
      </c>
      <c r="AN1" s="51" t="s">
        <v>173</v>
      </c>
      <c r="AO1" s="51" t="s">
        <v>152</v>
      </c>
      <c r="AP1" s="51" t="s">
        <v>153</v>
      </c>
      <c r="AQ1" s="51" t="s">
        <v>154</v>
      </c>
      <c r="AR1" s="51" t="s">
        <v>155</v>
      </c>
      <c r="AS1" s="51" t="s">
        <v>162</v>
      </c>
      <c r="AT1" s="51" t="s">
        <v>156</v>
      </c>
      <c r="AU1" s="51" t="s">
        <v>163</v>
      </c>
      <c r="AV1" s="51" t="s">
        <v>157</v>
      </c>
      <c r="AW1" s="51" t="s">
        <v>164</v>
      </c>
      <c r="AX1" s="51" t="s">
        <v>165</v>
      </c>
      <c r="AY1" s="51" t="s">
        <v>158</v>
      </c>
      <c r="AZ1" s="51" t="s">
        <v>180</v>
      </c>
      <c r="BA1" s="51" t="s">
        <v>181</v>
      </c>
      <c r="BB1" s="51" t="s">
        <v>175</v>
      </c>
      <c r="BC1" s="51" t="s">
        <v>176</v>
      </c>
      <c r="BD1" s="51" t="s">
        <v>177</v>
      </c>
      <c r="BE1" s="72" t="s">
        <v>115</v>
      </c>
      <c r="BF1" s="72" t="s">
        <v>116</v>
      </c>
      <c r="BG1" s="72" t="s">
        <v>117</v>
      </c>
      <c r="BH1" s="51" t="s">
        <v>118</v>
      </c>
      <c r="BI1" s="51" t="s">
        <v>119</v>
      </c>
      <c r="BJ1" s="51" t="s">
        <v>120</v>
      </c>
      <c r="BK1" s="51" t="s">
        <v>121</v>
      </c>
      <c r="BL1" s="51" t="s">
        <v>122</v>
      </c>
      <c r="BM1" s="51" t="s">
        <v>123</v>
      </c>
      <c r="BN1" s="51" t="s">
        <v>124</v>
      </c>
      <c r="BO1" s="51" t="s">
        <v>125</v>
      </c>
      <c r="BP1" s="51" t="s">
        <v>126</v>
      </c>
      <c r="BQ1" s="51"/>
      <c r="BR1" s="9" t="s">
        <v>221</v>
      </c>
      <c r="BS1" s="9" t="s">
        <v>222</v>
      </c>
      <c r="BT1" s="9" t="s">
        <v>223</v>
      </c>
      <c r="BU1" s="9" t="s">
        <v>229</v>
      </c>
      <c r="BV1" s="9" t="s">
        <v>230</v>
      </c>
      <c r="BW1" s="9" t="s">
        <v>231</v>
      </c>
      <c r="BX1" s="9" t="s">
        <v>232</v>
      </c>
      <c r="BY1" s="9" t="s">
        <v>233</v>
      </c>
      <c r="BZ1" s="9" t="s">
        <v>234</v>
      </c>
    </row>
    <row r="2" spans="1:78" s="9" customFormat="1" x14ac:dyDescent="0.2">
      <c r="A2" s="9" t="s">
        <v>129</v>
      </c>
      <c r="B2" s="9" t="s">
        <v>69</v>
      </c>
      <c r="C2" s="28" t="s">
        <v>18</v>
      </c>
      <c r="D2" s="9" t="s">
        <v>29</v>
      </c>
      <c r="E2" s="9" t="s">
        <v>80</v>
      </c>
      <c r="F2" s="51">
        <v>1464</v>
      </c>
      <c r="G2" s="51">
        <v>379</v>
      </c>
      <c r="H2" s="9">
        <v>1094</v>
      </c>
      <c r="I2" s="9">
        <v>497</v>
      </c>
      <c r="J2" s="9">
        <v>1112</v>
      </c>
      <c r="K2" s="9">
        <v>495</v>
      </c>
      <c r="L2" s="9">
        <v>1132</v>
      </c>
      <c r="M2" s="9">
        <v>473</v>
      </c>
      <c r="N2" s="83">
        <v>96.755660000000006</v>
      </c>
      <c r="O2" s="83">
        <v>105.88231857142857</v>
      </c>
      <c r="P2" s="83">
        <v>105.60460799999998</v>
      </c>
      <c r="Q2" s="83">
        <v>11.8</v>
      </c>
      <c r="R2" s="83">
        <v>12</v>
      </c>
      <c r="S2" s="83">
        <v>12.2</v>
      </c>
      <c r="T2" s="83">
        <v>38.700000000000003</v>
      </c>
      <c r="U2" s="83">
        <v>26.2</v>
      </c>
      <c r="V2" s="83">
        <v>26.1</v>
      </c>
      <c r="W2" s="83">
        <v>127.9</v>
      </c>
      <c r="X2" s="83">
        <v>107.7</v>
      </c>
      <c r="Y2" s="83">
        <v>108.8</v>
      </c>
      <c r="Z2" s="83">
        <v>9.4</v>
      </c>
      <c r="AA2" s="83">
        <v>8.6999999999999993</v>
      </c>
      <c r="AB2" s="83">
        <v>9</v>
      </c>
      <c r="AC2" s="87">
        <v>1.36</v>
      </c>
      <c r="AD2" s="87">
        <v>1.52</v>
      </c>
      <c r="AE2" s="87">
        <v>1.5</v>
      </c>
      <c r="AF2" s="87">
        <v>30.05</v>
      </c>
      <c r="AG2" s="87">
        <v>27.36</v>
      </c>
      <c r="AH2" s="87">
        <v>27.73</v>
      </c>
      <c r="AI2" s="85">
        <v>92</v>
      </c>
      <c r="AJ2" s="85">
        <v>87.4</v>
      </c>
      <c r="AK2" s="85">
        <v>88.4</v>
      </c>
      <c r="AL2" s="83">
        <v>1.5</v>
      </c>
      <c r="AM2" s="83">
        <v>4.5</v>
      </c>
      <c r="AN2" s="83">
        <v>3.9</v>
      </c>
      <c r="AO2" s="83">
        <v>2.6</v>
      </c>
      <c r="AP2" s="83">
        <v>2.6</v>
      </c>
      <c r="AQ2" s="83">
        <v>4.3</v>
      </c>
      <c r="AR2" s="51" t="s">
        <v>245</v>
      </c>
      <c r="AS2" s="51" t="s">
        <v>254</v>
      </c>
      <c r="AT2" s="51" t="s">
        <v>263</v>
      </c>
      <c r="AU2" s="51" t="s">
        <v>271</v>
      </c>
      <c r="AV2" s="51" t="s">
        <v>265</v>
      </c>
      <c r="AW2" s="51" t="s">
        <v>253</v>
      </c>
      <c r="AX2" s="83">
        <v>92.7</v>
      </c>
      <c r="AY2" s="51" t="s">
        <v>270</v>
      </c>
      <c r="AZ2" s="83">
        <v>88.2</v>
      </c>
      <c r="BA2" s="83">
        <v>88.9</v>
      </c>
      <c r="BB2" s="83">
        <v>72</v>
      </c>
      <c r="BC2" s="83">
        <v>72.900000000000006</v>
      </c>
      <c r="BD2" s="83">
        <v>72.8</v>
      </c>
      <c r="BE2" s="77"/>
      <c r="BF2" s="77"/>
      <c r="BG2" s="78"/>
      <c r="BH2" s="83">
        <v>92.9</v>
      </c>
      <c r="BI2" s="83">
        <v>87.7</v>
      </c>
      <c r="BJ2" s="83">
        <v>85</v>
      </c>
      <c r="BK2" s="83">
        <v>8</v>
      </c>
      <c r="BL2" s="83">
        <v>5.6</v>
      </c>
      <c r="BM2" s="52">
        <v>6</v>
      </c>
      <c r="BN2" s="83">
        <v>49.4</v>
      </c>
      <c r="BO2" s="83">
        <v>45.4</v>
      </c>
      <c r="BP2" s="83">
        <v>45.8</v>
      </c>
      <c r="BQ2" s="83" t="s">
        <v>69</v>
      </c>
      <c r="BR2" s="90">
        <v>5.6654676258992804</v>
      </c>
      <c r="BS2" s="90">
        <v>23.72515125324114</v>
      </c>
      <c r="BT2" s="90">
        <v>23.05493807557955</v>
      </c>
      <c r="BU2" s="90">
        <v>94.9</v>
      </c>
      <c r="BV2" s="90">
        <v>88.9</v>
      </c>
      <c r="BW2" s="9">
        <v>89.2</v>
      </c>
      <c r="BX2" s="90">
        <v>80.099999999999994</v>
      </c>
      <c r="BY2" s="9">
        <v>60.6</v>
      </c>
      <c r="BZ2" s="9">
        <v>61</v>
      </c>
    </row>
    <row r="3" spans="1:78" s="9" customFormat="1" x14ac:dyDescent="0.2">
      <c r="A3" s="9" t="s">
        <v>130</v>
      </c>
      <c r="B3" s="9" t="s">
        <v>35</v>
      </c>
      <c r="C3" s="28" t="s">
        <v>18</v>
      </c>
      <c r="D3" s="9" t="s">
        <v>29</v>
      </c>
      <c r="E3" s="9" t="s">
        <v>81</v>
      </c>
      <c r="F3" s="51">
        <v>1005</v>
      </c>
      <c r="G3" s="51">
        <v>334</v>
      </c>
      <c r="H3" s="9">
        <v>694</v>
      </c>
      <c r="I3" s="9">
        <v>460</v>
      </c>
      <c r="J3" s="9">
        <v>708</v>
      </c>
      <c r="K3" s="9">
        <v>435</v>
      </c>
      <c r="L3" s="9">
        <v>698</v>
      </c>
      <c r="M3" s="52">
        <v>458</v>
      </c>
      <c r="N3" s="83">
        <v>99.060813999999993</v>
      </c>
      <c r="O3" s="83">
        <v>105.88231857142857</v>
      </c>
      <c r="P3" s="83">
        <v>105.60460799999998</v>
      </c>
      <c r="Q3" s="83">
        <v>13.1</v>
      </c>
      <c r="R3" s="83">
        <v>12</v>
      </c>
      <c r="S3" s="83">
        <v>12.2</v>
      </c>
      <c r="T3" s="83">
        <v>23</v>
      </c>
      <c r="U3" s="83">
        <v>26.2</v>
      </c>
      <c r="V3" s="83">
        <v>26.1</v>
      </c>
      <c r="W3" s="83">
        <v>96.5</v>
      </c>
      <c r="X3" s="83">
        <v>107.7</v>
      </c>
      <c r="Y3" s="83">
        <v>108.8</v>
      </c>
      <c r="Z3" s="83">
        <v>10.1</v>
      </c>
      <c r="AA3" s="83">
        <v>8.6999999999999993</v>
      </c>
      <c r="AB3" s="83">
        <v>9</v>
      </c>
      <c r="AC3" s="87">
        <v>1.69</v>
      </c>
      <c r="AD3" s="87">
        <v>1.52</v>
      </c>
      <c r="AE3" s="87">
        <v>1.5</v>
      </c>
      <c r="AF3" s="87">
        <v>26.22</v>
      </c>
      <c r="AG3" s="87">
        <v>27.36</v>
      </c>
      <c r="AH3" s="87">
        <v>27.73</v>
      </c>
      <c r="AI3" s="85">
        <v>82.6</v>
      </c>
      <c r="AJ3" s="85">
        <v>87.4</v>
      </c>
      <c r="AK3" s="85">
        <v>88.4</v>
      </c>
      <c r="AL3" s="83">
        <v>4</v>
      </c>
      <c r="AM3" s="83">
        <v>4.5</v>
      </c>
      <c r="AN3" s="83">
        <v>3.9</v>
      </c>
      <c r="AO3" s="83">
        <v>6.1</v>
      </c>
      <c r="AP3" s="83">
        <v>2.6</v>
      </c>
      <c r="AQ3" s="83">
        <v>4.3</v>
      </c>
      <c r="AR3" s="51" t="s">
        <v>246</v>
      </c>
      <c r="AS3" s="51" t="s">
        <v>255</v>
      </c>
      <c r="AT3" s="51" t="s">
        <v>264</v>
      </c>
      <c r="AU3" s="51" t="s">
        <v>272</v>
      </c>
      <c r="AV3" s="51" t="s">
        <v>252</v>
      </c>
      <c r="AW3" s="51" t="s">
        <v>269</v>
      </c>
      <c r="AX3" s="83">
        <v>80.599999999999994</v>
      </c>
      <c r="AY3" s="51" t="s">
        <v>282</v>
      </c>
      <c r="AZ3" s="83">
        <v>88.2</v>
      </c>
      <c r="BA3" s="83">
        <v>88.9</v>
      </c>
      <c r="BB3" s="83">
        <v>73.099999999999994</v>
      </c>
      <c r="BC3" s="83">
        <v>72.900000000000006</v>
      </c>
      <c r="BD3" s="83">
        <v>72.8</v>
      </c>
      <c r="BE3" s="77"/>
      <c r="BF3" s="77"/>
      <c r="BG3" s="78"/>
      <c r="BH3" s="83">
        <v>87.5</v>
      </c>
      <c r="BI3" s="83">
        <v>87.7</v>
      </c>
      <c r="BJ3" s="83">
        <v>85</v>
      </c>
      <c r="BK3" s="83">
        <v>6.6</v>
      </c>
      <c r="BL3" s="83">
        <v>5.6</v>
      </c>
      <c r="BM3" s="52">
        <v>6</v>
      </c>
      <c r="BN3" s="83">
        <v>44.1</v>
      </c>
      <c r="BO3" s="83">
        <v>45.4</v>
      </c>
      <c r="BP3" s="83">
        <v>45.8</v>
      </c>
      <c r="BQ3" s="83" t="s">
        <v>35</v>
      </c>
      <c r="BR3" s="90">
        <v>34.180790960451979</v>
      </c>
      <c r="BS3" s="90">
        <v>23.72515125324114</v>
      </c>
      <c r="BT3" s="90">
        <v>23.05493807557955</v>
      </c>
      <c r="BU3" s="90">
        <v>80.8</v>
      </c>
      <c r="BV3" s="90">
        <v>88.9</v>
      </c>
      <c r="BW3" s="9">
        <v>89.2</v>
      </c>
      <c r="BX3" s="90">
        <v>47.5</v>
      </c>
      <c r="BY3" s="9">
        <v>60.6</v>
      </c>
      <c r="BZ3" s="9">
        <v>61</v>
      </c>
    </row>
    <row r="4" spans="1:78" s="9" customFormat="1" x14ac:dyDescent="0.2">
      <c r="A4" s="9" t="s">
        <v>132</v>
      </c>
      <c r="B4" s="9" t="s">
        <v>70</v>
      </c>
      <c r="C4" s="9" t="s">
        <v>76</v>
      </c>
      <c r="D4" s="9" t="s">
        <v>29</v>
      </c>
      <c r="E4" s="9" t="s">
        <v>83</v>
      </c>
      <c r="F4" s="51">
        <v>842</v>
      </c>
      <c r="G4" s="51">
        <v>118</v>
      </c>
      <c r="H4" s="9">
        <v>931</v>
      </c>
      <c r="I4" s="9">
        <v>157</v>
      </c>
      <c r="J4" s="9">
        <v>919</v>
      </c>
      <c r="K4" s="9">
        <v>162</v>
      </c>
      <c r="L4" s="9">
        <v>898</v>
      </c>
      <c r="M4" s="9">
        <v>171</v>
      </c>
      <c r="N4" s="83">
        <v>98.515739999999994</v>
      </c>
      <c r="O4" s="83">
        <v>104.95661666666668</v>
      </c>
      <c r="P4" s="83">
        <v>105.60460799999998</v>
      </c>
      <c r="Q4" s="83">
        <v>14.5</v>
      </c>
      <c r="R4" s="83">
        <v>12.8</v>
      </c>
      <c r="S4" s="83">
        <v>12.2</v>
      </c>
      <c r="T4" s="83">
        <v>38.700000000000003</v>
      </c>
      <c r="U4" s="83">
        <v>27.7</v>
      </c>
      <c r="V4" s="83">
        <v>26.1</v>
      </c>
      <c r="W4" s="83">
        <v>123.6</v>
      </c>
      <c r="X4" s="83">
        <v>111.7</v>
      </c>
      <c r="Y4" s="83">
        <v>108.8</v>
      </c>
      <c r="Z4" s="83">
        <v>6.2</v>
      </c>
      <c r="AA4" s="83">
        <v>9.9</v>
      </c>
      <c r="AB4" s="83">
        <v>9</v>
      </c>
      <c r="AC4" s="87">
        <v>1.31</v>
      </c>
      <c r="AD4" s="87">
        <v>1.46</v>
      </c>
      <c r="AE4" s="87">
        <v>1.5</v>
      </c>
      <c r="AF4" s="87">
        <v>30.63</v>
      </c>
      <c r="AG4" s="87">
        <v>28.79</v>
      </c>
      <c r="AH4" s="87">
        <v>27.73</v>
      </c>
      <c r="AI4" s="85">
        <v>88.1</v>
      </c>
      <c r="AJ4" s="85">
        <v>85.3</v>
      </c>
      <c r="AK4" s="85">
        <v>88.4</v>
      </c>
      <c r="AL4" s="83">
        <v>1.2</v>
      </c>
      <c r="AM4" s="83">
        <v>2.5</v>
      </c>
      <c r="AN4" s="83">
        <v>3.9</v>
      </c>
      <c r="AO4" s="83">
        <v>7.3</v>
      </c>
      <c r="AP4" s="83">
        <v>9</v>
      </c>
      <c r="AQ4" s="83">
        <v>4.3</v>
      </c>
      <c r="AR4" s="51" t="s">
        <v>248</v>
      </c>
      <c r="AS4" s="51" t="s">
        <v>256</v>
      </c>
      <c r="AT4" s="51" t="s">
        <v>265</v>
      </c>
      <c r="AU4" s="51" t="s">
        <v>271</v>
      </c>
      <c r="AV4" s="51" t="s">
        <v>276</v>
      </c>
      <c r="AW4" s="51" t="s">
        <v>254</v>
      </c>
      <c r="AX4" s="83">
        <v>99</v>
      </c>
      <c r="AY4" s="51" t="s">
        <v>284</v>
      </c>
      <c r="AZ4" s="83">
        <v>90.8</v>
      </c>
      <c r="BA4" s="83">
        <v>88.9</v>
      </c>
      <c r="BB4" s="83">
        <v>72.099999999999994</v>
      </c>
      <c r="BC4" s="83">
        <v>72.400000000000006</v>
      </c>
      <c r="BD4" s="83">
        <v>72.8</v>
      </c>
      <c r="BE4" s="79"/>
      <c r="BF4" s="79"/>
      <c r="BG4" s="78"/>
      <c r="BH4" s="83">
        <v>80.3</v>
      </c>
      <c r="BI4" s="83">
        <v>75.099999999999994</v>
      </c>
      <c r="BJ4" s="83">
        <v>85</v>
      </c>
      <c r="BK4" s="83">
        <v>8</v>
      </c>
      <c r="BL4" s="83">
        <v>7.7</v>
      </c>
      <c r="BM4" s="52">
        <v>6</v>
      </c>
      <c r="BN4" s="83">
        <v>47.6</v>
      </c>
      <c r="BO4" s="83">
        <v>47.4</v>
      </c>
      <c r="BP4" s="83">
        <v>45.8</v>
      </c>
      <c r="BQ4" s="83" t="s">
        <v>70</v>
      </c>
      <c r="BR4" s="90">
        <v>5.4406964091403696</v>
      </c>
      <c r="BS4" s="90">
        <v>21.19760479041916</v>
      </c>
      <c r="BT4" s="90">
        <v>23.05493807557955</v>
      </c>
      <c r="BU4" s="90">
        <v>97</v>
      </c>
      <c r="BV4" s="9">
        <v>90.5</v>
      </c>
      <c r="BW4" s="9">
        <v>89.2</v>
      </c>
      <c r="BX4" s="90">
        <v>82.3</v>
      </c>
      <c r="BY4" s="9">
        <v>62.3</v>
      </c>
      <c r="BZ4" s="9">
        <v>61</v>
      </c>
    </row>
    <row r="5" spans="1:78" s="9" customFormat="1" x14ac:dyDescent="0.2">
      <c r="A5" s="9" t="s">
        <v>141</v>
      </c>
      <c r="B5" s="9" t="s">
        <v>65</v>
      </c>
      <c r="C5" s="9" t="s">
        <v>76</v>
      </c>
      <c r="D5" s="9" t="s">
        <v>29</v>
      </c>
      <c r="E5" s="9" t="s">
        <v>85</v>
      </c>
      <c r="F5" s="51">
        <v>302</v>
      </c>
      <c r="G5" s="52" t="s">
        <v>12</v>
      </c>
      <c r="H5" s="9">
        <v>320</v>
      </c>
      <c r="I5" s="52" t="s">
        <v>12</v>
      </c>
      <c r="J5" s="9">
        <v>297</v>
      </c>
      <c r="K5" s="52" t="s">
        <v>12</v>
      </c>
      <c r="L5" s="9">
        <v>285</v>
      </c>
      <c r="M5" s="52" t="s">
        <v>12</v>
      </c>
      <c r="N5" s="83">
        <v>100.02589</v>
      </c>
      <c r="O5" s="83">
        <v>104.95661666666668</v>
      </c>
      <c r="P5" s="83">
        <v>105.60460799999998</v>
      </c>
      <c r="Q5" s="83">
        <v>11.2</v>
      </c>
      <c r="R5" s="83">
        <v>12.8</v>
      </c>
      <c r="S5" s="83">
        <v>12.2</v>
      </c>
      <c r="T5" s="83">
        <v>11.2</v>
      </c>
      <c r="U5" s="83">
        <v>27.7</v>
      </c>
      <c r="V5" s="83">
        <v>26.1</v>
      </c>
      <c r="W5" s="83">
        <v>93.5</v>
      </c>
      <c r="X5" s="83">
        <v>111.7</v>
      </c>
      <c r="Y5" s="83">
        <v>108.8</v>
      </c>
      <c r="Z5" s="83">
        <v>21.1</v>
      </c>
      <c r="AA5" s="83">
        <v>9.9</v>
      </c>
      <c r="AB5" s="83">
        <v>9</v>
      </c>
      <c r="AC5" s="87">
        <v>1.69</v>
      </c>
      <c r="AD5" s="87">
        <v>1.46</v>
      </c>
      <c r="AE5" s="87">
        <v>1.5</v>
      </c>
      <c r="AF5" s="87">
        <v>27</v>
      </c>
      <c r="AG5" s="87">
        <v>28.79</v>
      </c>
      <c r="AH5" s="87">
        <v>27.73</v>
      </c>
      <c r="AI5" s="85">
        <v>74.400000000000006</v>
      </c>
      <c r="AJ5" s="85">
        <v>85.3</v>
      </c>
      <c r="AK5" s="85">
        <v>88.4</v>
      </c>
      <c r="AL5" s="83">
        <v>4.5</v>
      </c>
      <c r="AM5" s="83">
        <v>2.5</v>
      </c>
      <c r="AN5" s="83">
        <v>3.9</v>
      </c>
      <c r="AO5" s="83">
        <v>16.5</v>
      </c>
      <c r="AP5" s="83">
        <v>9</v>
      </c>
      <c r="AQ5" s="83">
        <v>4.3</v>
      </c>
      <c r="AR5" s="51" t="s">
        <v>249</v>
      </c>
      <c r="AS5" s="51" t="s">
        <v>257</v>
      </c>
      <c r="AT5" s="51" t="s">
        <v>266</v>
      </c>
      <c r="AU5" s="51" t="s">
        <v>272</v>
      </c>
      <c r="AV5" s="51" t="s">
        <v>277</v>
      </c>
      <c r="AW5" s="51" t="s">
        <v>280</v>
      </c>
      <c r="AX5" s="83">
        <v>77.400000000000006</v>
      </c>
      <c r="AY5" s="51" t="s">
        <v>285</v>
      </c>
      <c r="AZ5" s="83">
        <v>90.8</v>
      </c>
      <c r="BA5" s="83">
        <v>88.9</v>
      </c>
      <c r="BB5" s="83" t="s">
        <v>12</v>
      </c>
      <c r="BC5" s="83">
        <v>72.400000000000006</v>
      </c>
      <c r="BD5" s="83">
        <v>72.8</v>
      </c>
      <c r="BE5" s="79"/>
      <c r="BF5" s="79"/>
      <c r="BG5" s="78"/>
      <c r="BH5" s="83">
        <v>70.3</v>
      </c>
      <c r="BI5" s="83">
        <v>75.099999999999994</v>
      </c>
      <c r="BJ5" s="83">
        <v>85</v>
      </c>
      <c r="BK5" s="83">
        <v>8.4</v>
      </c>
      <c r="BL5" s="83">
        <v>7.7</v>
      </c>
      <c r="BM5" s="52">
        <v>6</v>
      </c>
      <c r="BN5" s="83">
        <v>49.3</v>
      </c>
      <c r="BO5" s="83">
        <v>47.4</v>
      </c>
      <c r="BP5" s="83">
        <v>45.8</v>
      </c>
      <c r="BQ5" s="83" t="s">
        <v>65</v>
      </c>
      <c r="BR5" s="90">
        <v>72.053872053872055</v>
      </c>
      <c r="BS5" s="90">
        <v>21.19760479041916</v>
      </c>
      <c r="BT5" s="90">
        <v>23.05493807557955</v>
      </c>
      <c r="BU5" s="90">
        <v>73.7</v>
      </c>
      <c r="BV5" s="9">
        <v>90.5</v>
      </c>
      <c r="BW5" s="9">
        <v>89.2</v>
      </c>
      <c r="BX5" s="90">
        <v>24.3</v>
      </c>
      <c r="BY5" s="9">
        <v>62.3</v>
      </c>
      <c r="BZ5" s="9">
        <v>61</v>
      </c>
    </row>
    <row r="6" spans="1:78" s="9" customFormat="1" x14ac:dyDescent="0.2">
      <c r="A6" s="9" t="s">
        <v>144</v>
      </c>
      <c r="B6" s="9" t="s">
        <v>68</v>
      </c>
      <c r="C6" s="28" t="s">
        <v>18</v>
      </c>
      <c r="D6" s="9" t="s">
        <v>92</v>
      </c>
      <c r="E6" s="9" t="s">
        <v>81</v>
      </c>
      <c r="F6" s="51">
        <v>223</v>
      </c>
      <c r="G6" s="52" t="s">
        <v>12</v>
      </c>
      <c r="H6" s="9">
        <v>247</v>
      </c>
      <c r="I6" s="52" t="s">
        <v>12</v>
      </c>
      <c r="J6" s="9">
        <v>252</v>
      </c>
      <c r="K6" s="52" t="s">
        <v>12</v>
      </c>
      <c r="L6" s="9">
        <v>207</v>
      </c>
      <c r="M6" s="52" t="s">
        <v>12</v>
      </c>
      <c r="N6" s="83">
        <v>125.56468</v>
      </c>
      <c r="O6" s="83">
        <v>105.88231857142857</v>
      </c>
      <c r="P6" s="83">
        <v>105.60460799999998</v>
      </c>
      <c r="Q6" s="83">
        <v>8</v>
      </c>
      <c r="R6" s="83">
        <v>12</v>
      </c>
      <c r="S6" s="83">
        <v>12.2</v>
      </c>
      <c r="T6" s="83">
        <v>13.1</v>
      </c>
      <c r="U6" s="83">
        <v>26.2</v>
      </c>
      <c r="V6" s="83">
        <v>26.1</v>
      </c>
      <c r="W6" s="83">
        <v>94.2</v>
      </c>
      <c r="X6" s="83">
        <v>107.7</v>
      </c>
      <c r="Y6" s="83">
        <v>108.8</v>
      </c>
      <c r="Z6" s="83">
        <v>10.5</v>
      </c>
      <c r="AA6" s="83">
        <v>8.6999999999999993</v>
      </c>
      <c r="AB6" s="83">
        <v>9</v>
      </c>
      <c r="AC6" s="87">
        <v>1.85</v>
      </c>
      <c r="AD6" s="87">
        <v>1.52</v>
      </c>
      <c r="AE6" s="87">
        <v>1.5</v>
      </c>
      <c r="AF6" s="87">
        <v>22.91</v>
      </c>
      <c r="AG6" s="87">
        <v>27.36</v>
      </c>
      <c r="AH6" s="87">
        <v>27.73</v>
      </c>
      <c r="AI6" s="85">
        <v>83.9</v>
      </c>
      <c r="AJ6" s="85">
        <v>87.4</v>
      </c>
      <c r="AK6" s="85">
        <v>88.4</v>
      </c>
      <c r="AL6" s="83">
        <v>15.1</v>
      </c>
      <c r="AM6" s="83">
        <v>4.5</v>
      </c>
      <c r="AN6" s="83">
        <v>3.9</v>
      </c>
      <c r="AO6" s="83">
        <v>0</v>
      </c>
      <c r="AP6" s="83">
        <v>2.6</v>
      </c>
      <c r="AQ6" s="83">
        <v>4.3</v>
      </c>
      <c r="AR6" s="51" t="s">
        <v>252</v>
      </c>
      <c r="AS6" s="51" t="s">
        <v>260</v>
      </c>
      <c r="AT6" s="51" t="s">
        <v>268</v>
      </c>
      <c r="AU6" s="51" t="s">
        <v>274</v>
      </c>
      <c r="AV6" s="51" t="s">
        <v>279</v>
      </c>
      <c r="AW6" s="51" t="s">
        <v>281</v>
      </c>
      <c r="AX6" s="83">
        <v>93.7</v>
      </c>
      <c r="AY6" s="51" t="s">
        <v>286</v>
      </c>
      <c r="AZ6" s="83">
        <v>88.2</v>
      </c>
      <c r="BA6" s="83">
        <v>88.9</v>
      </c>
      <c r="BB6" s="83" t="s">
        <v>12</v>
      </c>
      <c r="BC6" s="83">
        <v>72.900000000000006</v>
      </c>
      <c r="BD6" s="83">
        <v>72.8</v>
      </c>
      <c r="BE6" s="77"/>
      <c r="BF6" s="77"/>
      <c r="BG6" s="78"/>
      <c r="BH6" s="83">
        <v>68.8</v>
      </c>
      <c r="BI6" s="83">
        <v>87.7</v>
      </c>
      <c r="BJ6" s="83">
        <v>85</v>
      </c>
      <c r="BK6" s="83">
        <v>2.5</v>
      </c>
      <c r="BL6" s="83">
        <v>5.6</v>
      </c>
      <c r="BM6" s="52">
        <v>6</v>
      </c>
      <c r="BN6" s="83">
        <v>44.3</v>
      </c>
      <c r="BO6" s="83">
        <v>45.4</v>
      </c>
      <c r="BP6" s="83">
        <v>45.8</v>
      </c>
      <c r="BQ6" s="83" t="s">
        <v>68</v>
      </c>
      <c r="BR6" s="90">
        <v>86.904761904761912</v>
      </c>
      <c r="BS6" s="90">
        <v>23.72515125324114</v>
      </c>
      <c r="BT6" s="90">
        <v>23.05493807557955</v>
      </c>
      <c r="BU6" s="90">
        <v>87.1</v>
      </c>
      <c r="BV6" s="90">
        <v>88.9</v>
      </c>
      <c r="BW6" s="9">
        <v>89.2</v>
      </c>
      <c r="BX6" s="90">
        <v>38.700000000000003</v>
      </c>
      <c r="BY6" s="9">
        <v>60.6</v>
      </c>
      <c r="BZ6" s="9">
        <v>61</v>
      </c>
    </row>
    <row r="7" spans="1:78" s="9" customFormat="1" x14ac:dyDescent="0.2">
      <c r="A7" s="9" t="s">
        <v>145</v>
      </c>
      <c r="B7" s="9" t="s">
        <v>71</v>
      </c>
      <c r="C7" s="9" t="s">
        <v>76</v>
      </c>
      <c r="D7" s="9" t="s">
        <v>88</v>
      </c>
      <c r="E7" s="9" t="s">
        <v>83</v>
      </c>
      <c r="F7" s="51">
        <v>454</v>
      </c>
      <c r="G7" s="52" t="s">
        <v>12</v>
      </c>
      <c r="H7" s="9">
        <v>494</v>
      </c>
      <c r="I7" s="9">
        <v>86</v>
      </c>
      <c r="J7" s="9">
        <v>454</v>
      </c>
      <c r="K7" s="9">
        <v>86</v>
      </c>
      <c r="L7" s="9">
        <v>450</v>
      </c>
      <c r="M7" s="9">
        <v>89</v>
      </c>
      <c r="N7" s="83">
        <v>100.75947600000001</v>
      </c>
      <c r="O7" s="83">
        <v>104.95661666666668</v>
      </c>
      <c r="P7" s="83">
        <v>105.60460799999998</v>
      </c>
      <c r="Q7" s="83">
        <v>10.199999999999999</v>
      </c>
      <c r="R7" s="83">
        <v>12.8</v>
      </c>
      <c r="S7" s="83">
        <v>12.2</v>
      </c>
      <c r="T7" s="83">
        <v>14.4</v>
      </c>
      <c r="U7" s="83">
        <v>27.7</v>
      </c>
      <c r="V7" s="83">
        <v>26.1</v>
      </c>
      <c r="W7" s="83">
        <v>99.4</v>
      </c>
      <c r="X7" s="83">
        <v>111.7</v>
      </c>
      <c r="Y7" s="83">
        <v>108.8</v>
      </c>
      <c r="Z7" s="83">
        <v>10.5</v>
      </c>
      <c r="AA7" s="83">
        <v>9.9</v>
      </c>
      <c r="AB7" s="83">
        <v>9</v>
      </c>
      <c r="AC7" s="87">
        <v>1.59</v>
      </c>
      <c r="AD7" s="87">
        <v>1.46</v>
      </c>
      <c r="AE7" s="87">
        <v>1.5</v>
      </c>
      <c r="AF7" s="87">
        <v>26.71</v>
      </c>
      <c r="AG7" s="87">
        <v>28.79</v>
      </c>
      <c r="AH7" s="87">
        <v>27.73</v>
      </c>
      <c r="AI7" s="85">
        <v>88.7</v>
      </c>
      <c r="AJ7" s="85">
        <v>85.3</v>
      </c>
      <c r="AK7" s="85">
        <v>88.4</v>
      </c>
      <c r="AL7" s="83">
        <v>3.3</v>
      </c>
      <c r="AM7" s="83">
        <v>2.5</v>
      </c>
      <c r="AN7" s="83">
        <v>3.9</v>
      </c>
      <c r="AO7" s="83">
        <v>6</v>
      </c>
      <c r="AP7" s="83">
        <v>9</v>
      </c>
      <c r="AQ7" s="83">
        <v>4.3</v>
      </c>
      <c r="AR7" s="51" t="s">
        <v>250</v>
      </c>
      <c r="AS7" s="51" t="s">
        <v>258</v>
      </c>
      <c r="AT7" s="51" t="s">
        <v>267</v>
      </c>
      <c r="AU7" s="51" t="s">
        <v>255</v>
      </c>
      <c r="AV7" s="51" t="s">
        <v>278</v>
      </c>
      <c r="AW7" s="51" t="s">
        <v>273</v>
      </c>
      <c r="AX7" s="83">
        <v>83.7</v>
      </c>
      <c r="AY7" s="51" t="s">
        <v>283</v>
      </c>
      <c r="AZ7" s="83">
        <v>90.8</v>
      </c>
      <c r="BA7" s="83">
        <v>88.9</v>
      </c>
      <c r="BB7" s="83">
        <v>73</v>
      </c>
      <c r="BC7" s="83">
        <v>72.400000000000006</v>
      </c>
      <c r="BD7" s="83">
        <v>72.8</v>
      </c>
      <c r="BE7" s="79"/>
      <c r="BF7" s="79"/>
      <c r="BG7" s="78"/>
      <c r="BH7" s="83">
        <v>70.7</v>
      </c>
      <c r="BI7" s="83">
        <v>75.099999999999994</v>
      </c>
      <c r="BJ7" s="83">
        <v>85</v>
      </c>
      <c r="BK7" s="83">
        <v>6.4</v>
      </c>
      <c r="BL7" s="83">
        <v>7.7</v>
      </c>
      <c r="BM7" s="52">
        <v>6</v>
      </c>
      <c r="BN7" s="83">
        <v>45.4</v>
      </c>
      <c r="BO7" s="83">
        <v>47.4</v>
      </c>
      <c r="BP7" s="83">
        <v>45.8</v>
      </c>
      <c r="BQ7" s="83" t="s">
        <v>71</v>
      </c>
      <c r="BR7" s="90">
        <v>19.823788546255507</v>
      </c>
      <c r="BS7" s="90">
        <v>21.19760479041916</v>
      </c>
      <c r="BT7" s="90">
        <v>23.05493807557955</v>
      </c>
      <c r="BU7" s="90">
        <v>88.7</v>
      </c>
      <c r="BV7" s="9">
        <v>90.5</v>
      </c>
      <c r="BW7" s="9">
        <v>89.2</v>
      </c>
      <c r="BX7" s="90">
        <v>43.8</v>
      </c>
      <c r="BY7" s="9">
        <v>62.3</v>
      </c>
      <c r="BZ7" s="9">
        <v>61</v>
      </c>
    </row>
    <row r="8" spans="1:78" s="9" customFormat="1" x14ac:dyDescent="0.2">
      <c r="A8" s="9" t="s">
        <v>146</v>
      </c>
      <c r="B8" s="9" t="s">
        <v>72</v>
      </c>
      <c r="C8" s="28" t="s">
        <v>18</v>
      </c>
      <c r="D8" s="9" t="s">
        <v>86</v>
      </c>
      <c r="E8" s="9" t="s">
        <v>80</v>
      </c>
      <c r="F8" s="51">
        <v>307</v>
      </c>
      <c r="G8" s="52" t="s">
        <v>12</v>
      </c>
      <c r="H8" s="9">
        <v>223</v>
      </c>
      <c r="I8" s="9">
        <v>33</v>
      </c>
      <c r="J8" s="9">
        <v>215</v>
      </c>
      <c r="K8" s="9">
        <v>29</v>
      </c>
      <c r="L8" s="9">
        <v>210</v>
      </c>
      <c r="M8" s="9">
        <v>27</v>
      </c>
      <c r="N8" s="83">
        <v>120.49397</v>
      </c>
      <c r="O8" s="83">
        <v>105.88231857142857</v>
      </c>
      <c r="P8" s="83">
        <v>105.60460799999998</v>
      </c>
      <c r="Q8" s="83">
        <v>6.8</v>
      </c>
      <c r="R8" s="83">
        <v>12</v>
      </c>
      <c r="S8" s="83">
        <v>12.2</v>
      </c>
      <c r="T8" s="83">
        <v>15.7</v>
      </c>
      <c r="U8" s="83">
        <v>26.2</v>
      </c>
      <c r="V8" s="83">
        <v>26.1</v>
      </c>
      <c r="W8" s="83">
        <v>92.6</v>
      </c>
      <c r="X8" s="83">
        <v>107.7</v>
      </c>
      <c r="Y8" s="83">
        <v>108.8</v>
      </c>
      <c r="Z8" s="83">
        <v>5.3</v>
      </c>
      <c r="AA8" s="83">
        <v>8.6999999999999993</v>
      </c>
      <c r="AB8" s="83">
        <v>9</v>
      </c>
      <c r="AC8" s="87">
        <v>1.95</v>
      </c>
      <c r="AD8" s="87">
        <v>1.52</v>
      </c>
      <c r="AE8" s="87">
        <v>1.5</v>
      </c>
      <c r="AF8" s="87">
        <v>19.55</v>
      </c>
      <c r="AG8" s="87">
        <v>27.36</v>
      </c>
      <c r="AH8" s="87">
        <v>27.73</v>
      </c>
      <c r="AI8" s="85">
        <v>82</v>
      </c>
      <c r="AJ8" s="85">
        <v>87.4</v>
      </c>
      <c r="AK8" s="85">
        <v>88.4</v>
      </c>
      <c r="AL8" s="83">
        <v>13.5</v>
      </c>
      <c r="AM8" s="83">
        <v>4.5</v>
      </c>
      <c r="AN8" s="83">
        <v>3.9</v>
      </c>
      <c r="AO8" s="83">
        <v>2.2000000000000002</v>
      </c>
      <c r="AP8" s="83">
        <v>2.6</v>
      </c>
      <c r="AQ8" s="83">
        <v>4.3</v>
      </c>
      <c r="AR8" s="51" t="s">
        <v>249</v>
      </c>
      <c r="AS8" s="51" t="s">
        <v>259</v>
      </c>
      <c r="AT8" s="51" t="s">
        <v>244</v>
      </c>
      <c r="AU8" s="51" t="s">
        <v>269</v>
      </c>
      <c r="AV8" s="51" t="s">
        <v>278</v>
      </c>
      <c r="AW8" s="51" t="s">
        <v>269</v>
      </c>
      <c r="AX8" s="83">
        <v>87.1</v>
      </c>
      <c r="AY8" s="51" t="s">
        <v>273</v>
      </c>
      <c r="AZ8" s="83">
        <v>88.2</v>
      </c>
      <c r="BA8" s="83">
        <v>88.9</v>
      </c>
      <c r="BB8" s="83">
        <v>76.900000000000006</v>
      </c>
      <c r="BC8" s="83">
        <v>72.900000000000006</v>
      </c>
      <c r="BD8" s="83">
        <v>72.8</v>
      </c>
      <c r="BE8" s="77"/>
      <c r="BF8" s="77"/>
      <c r="BG8" s="78"/>
      <c r="BH8" s="83">
        <v>88.2</v>
      </c>
      <c r="BI8" s="83">
        <v>87.7</v>
      </c>
      <c r="BJ8" s="83">
        <v>85</v>
      </c>
      <c r="BK8" s="83">
        <v>5.3</v>
      </c>
      <c r="BL8" s="83">
        <v>5.6</v>
      </c>
      <c r="BM8" s="52">
        <v>6</v>
      </c>
      <c r="BN8" s="83">
        <v>45.8</v>
      </c>
      <c r="BO8" s="83">
        <v>45.4</v>
      </c>
      <c r="BP8" s="83">
        <v>45.8</v>
      </c>
      <c r="BQ8" s="83" t="s">
        <v>72</v>
      </c>
      <c r="BR8" s="90">
        <v>48.372093023255815</v>
      </c>
      <c r="BS8" s="90">
        <v>23.72515125324114</v>
      </c>
      <c r="BT8" s="90">
        <v>23.05493807557955</v>
      </c>
      <c r="BU8" s="90">
        <v>77.900000000000006</v>
      </c>
      <c r="BV8" s="90">
        <v>88.9</v>
      </c>
      <c r="BW8" s="9">
        <v>89.2</v>
      </c>
      <c r="BX8" s="90">
        <v>46.8</v>
      </c>
      <c r="BY8" s="9">
        <v>60.6</v>
      </c>
      <c r="BZ8" s="9">
        <v>61</v>
      </c>
    </row>
    <row r="9" spans="1:78" s="9" customFormat="1" x14ac:dyDescent="0.2">
      <c r="A9" s="9" t="s">
        <v>328</v>
      </c>
      <c r="B9" s="9" t="s">
        <v>73</v>
      </c>
      <c r="C9" s="28" t="s">
        <v>18</v>
      </c>
      <c r="D9" s="9" t="s">
        <v>94</v>
      </c>
      <c r="E9" s="9" t="s">
        <v>80</v>
      </c>
      <c r="F9" s="51">
        <v>1421</v>
      </c>
      <c r="G9" s="51">
        <v>260</v>
      </c>
      <c r="H9" s="9">
        <v>1438</v>
      </c>
      <c r="I9" s="9">
        <v>395</v>
      </c>
      <c r="J9" s="9">
        <v>1431</v>
      </c>
      <c r="K9" s="9">
        <v>357</v>
      </c>
      <c r="L9" s="9">
        <v>1381</v>
      </c>
      <c r="M9" s="9">
        <v>339</v>
      </c>
      <c r="N9" s="83">
        <v>99.254339999999999</v>
      </c>
      <c r="O9" s="83">
        <v>105.88231857142857</v>
      </c>
      <c r="P9" s="83">
        <v>105.60460799999998</v>
      </c>
      <c r="Q9" s="83">
        <v>12.4</v>
      </c>
      <c r="R9" s="83">
        <v>12</v>
      </c>
      <c r="S9" s="83">
        <v>12.2</v>
      </c>
      <c r="T9" s="83">
        <v>22.8</v>
      </c>
      <c r="U9" s="83">
        <v>26.2</v>
      </c>
      <c r="V9" s="83">
        <v>26.1</v>
      </c>
      <c r="W9" s="83">
        <v>104.9</v>
      </c>
      <c r="X9" s="83">
        <v>107.7</v>
      </c>
      <c r="Y9" s="83">
        <v>108.8</v>
      </c>
      <c r="Z9" s="83">
        <v>8.4</v>
      </c>
      <c r="AA9" s="83">
        <v>8.6999999999999993</v>
      </c>
      <c r="AB9" s="83">
        <v>9</v>
      </c>
      <c r="AC9" s="87">
        <v>1.34</v>
      </c>
      <c r="AD9" s="87">
        <v>1.52</v>
      </c>
      <c r="AE9" s="87">
        <v>1.5</v>
      </c>
      <c r="AF9" s="87">
        <v>30.45</v>
      </c>
      <c r="AG9" s="87">
        <v>27.36</v>
      </c>
      <c r="AH9" s="87">
        <v>27.73</v>
      </c>
      <c r="AI9" s="85">
        <v>92.7</v>
      </c>
      <c r="AJ9" s="85">
        <v>87.4</v>
      </c>
      <c r="AK9" s="85">
        <v>88.4</v>
      </c>
      <c r="AL9" s="83">
        <v>3.1</v>
      </c>
      <c r="AM9" s="83">
        <v>4.5</v>
      </c>
      <c r="AN9" s="83">
        <v>3.9</v>
      </c>
      <c r="AO9" s="83">
        <v>0.8</v>
      </c>
      <c r="AP9" s="83">
        <v>2.6</v>
      </c>
      <c r="AQ9" s="83">
        <v>4.3</v>
      </c>
      <c r="AR9" s="51" t="s">
        <v>243</v>
      </c>
      <c r="AS9" s="51" t="s">
        <v>253</v>
      </c>
      <c r="AT9" s="51" t="s">
        <v>261</v>
      </c>
      <c r="AU9" s="51" t="s">
        <v>269</v>
      </c>
      <c r="AV9" s="51" t="s">
        <v>262</v>
      </c>
      <c r="AW9" s="51" t="s">
        <v>269</v>
      </c>
      <c r="AX9" s="83">
        <v>85.9</v>
      </c>
      <c r="AY9" s="51" t="s">
        <v>255</v>
      </c>
      <c r="AZ9" s="83">
        <v>88.2</v>
      </c>
      <c r="BA9" s="83">
        <v>88.9</v>
      </c>
      <c r="BB9" s="83">
        <v>69.3</v>
      </c>
      <c r="BC9" s="83">
        <v>72.900000000000006</v>
      </c>
      <c r="BD9" s="83">
        <v>72.8</v>
      </c>
      <c r="BE9" s="77"/>
      <c r="BF9" s="77"/>
      <c r="BG9" s="78"/>
      <c r="BH9" s="83">
        <v>91.1</v>
      </c>
      <c r="BI9" s="83">
        <v>87.7</v>
      </c>
      <c r="BJ9" s="83">
        <v>85</v>
      </c>
      <c r="BK9" s="83">
        <v>6</v>
      </c>
      <c r="BL9" s="83">
        <v>5.6</v>
      </c>
      <c r="BM9" s="52">
        <v>6</v>
      </c>
      <c r="BN9" s="83">
        <v>46.9</v>
      </c>
      <c r="BO9" s="83">
        <v>45.4</v>
      </c>
      <c r="BP9" s="83">
        <v>45.8</v>
      </c>
      <c r="BQ9" s="83" t="s">
        <v>73</v>
      </c>
      <c r="BR9" s="90">
        <v>16.142557651991616</v>
      </c>
      <c r="BS9" s="90">
        <v>23.72515125324114</v>
      </c>
      <c r="BT9" s="90">
        <v>23.05493807557955</v>
      </c>
      <c r="BU9" s="90">
        <v>92.9</v>
      </c>
      <c r="BV9" s="90">
        <v>88.9</v>
      </c>
      <c r="BW9" s="9">
        <v>89.2</v>
      </c>
      <c r="BX9" s="90">
        <v>62.6</v>
      </c>
      <c r="BY9" s="9">
        <v>60.6</v>
      </c>
      <c r="BZ9" s="9">
        <v>61</v>
      </c>
    </row>
    <row r="10" spans="1:78" s="9" customFormat="1" x14ac:dyDescent="0.2">
      <c r="A10" s="9" t="s">
        <v>214</v>
      </c>
      <c r="B10" s="9" t="s">
        <v>74</v>
      </c>
      <c r="C10" s="28" t="s">
        <v>18</v>
      </c>
      <c r="D10" s="9" t="s">
        <v>95</v>
      </c>
      <c r="E10" s="9" t="s">
        <v>81</v>
      </c>
      <c r="F10" s="51">
        <v>166</v>
      </c>
      <c r="G10" s="52" t="s">
        <v>12</v>
      </c>
      <c r="H10" s="9">
        <v>363</v>
      </c>
      <c r="I10" s="9">
        <v>54</v>
      </c>
      <c r="J10" s="9">
        <v>392</v>
      </c>
      <c r="K10" s="9">
        <v>51</v>
      </c>
      <c r="L10" s="9">
        <v>381</v>
      </c>
      <c r="M10" s="52">
        <v>57</v>
      </c>
      <c r="N10" s="83">
        <v>117.60494</v>
      </c>
      <c r="O10" s="83">
        <v>105.88231857142857</v>
      </c>
      <c r="P10" s="83">
        <v>105.60460799999998</v>
      </c>
      <c r="Q10" s="83">
        <v>13.8</v>
      </c>
      <c r="R10" s="83">
        <v>12</v>
      </c>
      <c r="S10" s="83">
        <v>12.2</v>
      </c>
      <c r="T10" s="83">
        <v>22.9</v>
      </c>
      <c r="U10" s="83">
        <v>26.2</v>
      </c>
      <c r="V10" s="83">
        <v>26.1</v>
      </c>
      <c r="W10" s="83">
        <v>103.6</v>
      </c>
      <c r="X10" s="83">
        <v>107.7</v>
      </c>
      <c r="Y10" s="83">
        <v>108.8</v>
      </c>
      <c r="Z10" s="83">
        <v>6.9</v>
      </c>
      <c r="AA10" s="83">
        <v>8.6999999999999993</v>
      </c>
      <c r="AB10" s="83">
        <v>9</v>
      </c>
      <c r="AC10" s="87">
        <v>1.83</v>
      </c>
      <c r="AD10" s="87">
        <v>1.52</v>
      </c>
      <c r="AE10" s="87">
        <v>1.5</v>
      </c>
      <c r="AF10" s="87">
        <v>24.5</v>
      </c>
      <c r="AG10" s="87">
        <v>27.36</v>
      </c>
      <c r="AH10" s="87">
        <v>27.73</v>
      </c>
      <c r="AI10" s="85">
        <v>77.3</v>
      </c>
      <c r="AJ10" s="85">
        <v>87.4</v>
      </c>
      <c r="AK10" s="85">
        <v>88.4</v>
      </c>
      <c r="AL10" s="83">
        <v>4.7</v>
      </c>
      <c r="AM10" s="83">
        <v>4.5</v>
      </c>
      <c r="AN10" s="83">
        <v>3.9</v>
      </c>
      <c r="AO10" s="83">
        <v>2.2999999999999998</v>
      </c>
      <c r="AP10" s="83">
        <v>2.6</v>
      </c>
      <c r="AQ10" s="83">
        <v>4.3</v>
      </c>
      <c r="AR10" s="51" t="s">
        <v>251</v>
      </c>
      <c r="AS10" s="51" t="s">
        <v>258</v>
      </c>
      <c r="AT10" s="51" t="s">
        <v>262</v>
      </c>
      <c r="AU10" s="51" t="s">
        <v>270</v>
      </c>
      <c r="AV10" s="51" t="s">
        <v>263</v>
      </c>
      <c r="AW10" s="51" t="s">
        <v>253</v>
      </c>
      <c r="AX10" s="83">
        <v>89</v>
      </c>
      <c r="AY10" s="51" t="s">
        <v>273</v>
      </c>
      <c r="AZ10" s="83">
        <v>88.2</v>
      </c>
      <c r="BA10" s="83">
        <v>88.9</v>
      </c>
      <c r="BB10" s="83">
        <v>79.2</v>
      </c>
      <c r="BC10" s="83">
        <v>72.900000000000006</v>
      </c>
      <c r="BD10" s="83">
        <v>72.8</v>
      </c>
      <c r="BE10" s="77"/>
      <c r="BF10" s="77"/>
      <c r="BG10" s="78"/>
      <c r="BH10" s="83">
        <v>82.9</v>
      </c>
      <c r="BI10" s="83">
        <v>87.7</v>
      </c>
      <c r="BJ10" s="83">
        <v>85</v>
      </c>
      <c r="BK10" s="83">
        <v>2.5</v>
      </c>
      <c r="BL10" s="83">
        <v>5.6</v>
      </c>
      <c r="BM10" s="52">
        <v>6</v>
      </c>
      <c r="BN10" s="83">
        <v>41.9</v>
      </c>
      <c r="BO10" s="83">
        <v>45.4</v>
      </c>
      <c r="BP10" s="83">
        <v>45.8</v>
      </c>
      <c r="BQ10" s="83" t="s">
        <v>74</v>
      </c>
      <c r="BR10" s="90">
        <v>30.023640661938533</v>
      </c>
      <c r="BS10" s="90">
        <v>23.72515125324114</v>
      </c>
      <c r="BT10" s="90">
        <v>23.05493807557955</v>
      </c>
      <c r="BU10" s="90">
        <v>79.400000000000006</v>
      </c>
      <c r="BV10" s="90">
        <v>88.9</v>
      </c>
      <c r="BW10" s="9">
        <v>89.2</v>
      </c>
      <c r="BX10" s="90">
        <v>59.1</v>
      </c>
      <c r="BY10" s="9">
        <v>60.6</v>
      </c>
      <c r="BZ10" s="9">
        <v>61</v>
      </c>
    </row>
    <row r="11" spans="1:78" s="9" customFormat="1" x14ac:dyDescent="0.2">
      <c r="A11" s="9" t="s">
        <v>148</v>
      </c>
      <c r="B11" s="9" t="s">
        <v>75</v>
      </c>
      <c r="C11" s="28" t="s">
        <v>18</v>
      </c>
      <c r="D11" s="9" t="s">
        <v>87</v>
      </c>
      <c r="E11" s="9" t="s">
        <v>81</v>
      </c>
      <c r="F11" s="52" t="s">
        <v>12</v>
      </c>
      <c r="G11" s="52" t="s">
        <v>12</v>
      </c>
      <c r="H11" s="9">
        <v>510</v>
      </c>
      <c r="I11" s="9">
        <v>112</v>
      </c>
      <c r="J11" s="9">
        <v>487</v>
      </c>
      <c r="K11" s="9">
        <v>110</v>
      </c>
      <c r="L11" s="9">
        <v>453</v>
      </c>
      <c r="M11" s="52">
        <v>103</v>
      </c>
      <c r="N11" s="83">
        <v>98.010570000000001</v>
      </c>
      <c r="O11" s="83">
        <v>105.88231857142857</v>
      </c>
      <c r="P11" s="83">
        <v>105.60460799999998</v>
      </c>
      <c r="Q11" s="83">
        <v>11.9</v>
      </c>
      <c r="R11" s="83">
        <v>12</v>
      </c>
      <c r="S11" s="83">
        <v>12.2</v>
      </c>
      <c r="T11" s="83">
        <v>20.8</v>
      </c>
      <c r="U11" s="83">
        <v>26.2</v>
      </c>
      <c r="V11" s="83">
        <v>26.1</v>
      </c>
      <c r="W11" s="83">
        <v>102.8</v>
      </c>
      <c r="X11" s="83">
        <v>107.7</v>
      </c>
      <c r="Y11" s="83">
        <v>108.8</v>
      </c>
      <c r="Z11" s="83">
        <v>8</v>
      </c>
      <c r="AA11" s="83">
        <v>8.6999999999999993</v>
      </c>
      <c r="AB11" s="83">
        <v>9</v>
      </c>
      <c r="AC11" s="87">
        <v>1.55</v>
      </c>
      <c r="AD11" s="87">
        <v>1.52</v>
      </c>
      <c r="AE11" s="87">
        <v>1.5</v>
      </c>
      <c r="AF11" s="87">
        <v>25.63</v>
      </c>
      <c r="AG11" s="87">
        <v>27.36</v>
      </c>
      <c r="AH11" s="87">
        <v>27.73</v>
      </c>
      <c r="AI11" s="85">
        <v>81.400000000000006</v>
      </c>
      <c r="AJ11" s="85">
        <v>87.4</v>
      </c>
      <c r="AK11" s="85">
        <v>88.4</v>
      </c>
      <c r="AL11" s="83">
        <v>4.9000000000000004</v>
      </c>
      <c r="AM11" s="83">
        <v>4.5</v>
      </c>
      <c r="AN11" s="83">
        <v>3.9</v>
      </c>
      <c r="AO11" s="83">
        <v>3.8</v>
      </c>
      <c r="AP11" s="83">
        <v>2.6</v>
      </c>
      <c r="AQ11" s="83">
        <v>4.3</v>
      </c>
      <c r="AR11" s="51" t="s">
        <v>244</v>
      </c>
      <c r="AS11" s="51" t="s">
        <v>253</v>
      </c>
      <c r="AT11" s="51" t="s">
        <v>262</v>
      </c>
      <c r="AU11" s="51" t="s">
        <v>270</v>
      </c>
      <c r="AV11" s="51" t="s">
        <v>275</v>
      </c>
      <c r="AW11" s="51" t="s">
        <v>253</v>
      </c>
      <c r="AX11" s="83">
        <v>93.5</v>
      </c>
      <c r="AY11" s="51" t="s">
        <v>280</v>
      </c>
      <c r="AZ11" s="83">
        <v>88.2</v>
      </c>
      <c r="BA11" s="83">
        <v>88.9</v>
      </c>
      <c r="BB11" s="83">
        <v>77.599999999999994</v>
      </c>
      <c r="BC11" s="83">
        <v>72.900000000000006</v>
      </c>
      <c r="BD11" s="83">
        <v>72.8</v>
      </c>
      <c r="BE11" s="77"/>
      <c r="BF11" s="77"/>
      <c r="BG11" s="78"/>
      <c r="BH11" s="83">
        <v>89.7</v>
      </c>
      <c r="BI11" s="83">
        <v>87.7</v>
      </c>
      <c r="BJ11" s="83">
        <v>85</v>
      </c>
      <c r="BK11" s="83">
        <v>3.2</v>
      </c>
      <c r="BL11" s="83">
        <v>5.6</v>
      </c>
      <c r="BM11" s="52">
        <v>6</v>
      </c>
      <c r="BN11" s="83">
        <v>42</v>
      </c>
      <c r="BO11" s="83">
        <v>45.4</v>
      </c>
      <c r="BP11" s="83">
        <v>45.8</v>
      </c>
      <c r="BQ11" s="83" t="s">
        <v>75</v>
      </c>
      <c r="BR11" s="90">
        <v>22.997946611909651</v>
      </c>
      <c r="BS11" s="90">
        <v>23.72515125324114</v>
      </c>
      <c r="BT11" s="90">
        <v>23.05493807557955</v>
      </c>
      <c r="BU11" s="90">
        <v>91</v>
      </c>
      <c r="BV11" s="90">
        <v>88.9</v>
      </c>
      <c r="BW11" s="9">
        <v>89.2</v>
      </c>
      <c r="BX11" s="90">
        <v>47.8</v>
      </c>
      <c r="BY11" s="9">
        <v>60.6</v>
      </c>
      <c r="BZ11" s="9">
        <v>61</v>
      </c>
    </row>
    <row r="12" spans="1:78" s="9" customFormat="1" x14ac:dyDescent="0.2">
      <c r="N12" s="76"/>
      <c r="O12" s="72"/>
      <c r="P12" s="72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72"/>
      <c r="AJ12" s="72"/>
      <c r="AK12" s="72"/>
      <c r="AL12" s="72"/>
      <c r="AM12" s="72"/>
      <c r="AN12" s="72"/>
      <c r="AO12" s="51"/>
      <c r="AP12" s="51"/>
      <c r="AQ12" s="51"/>
      <c r="AR12" s="51"/>
      <c r="AS12" s="51"/>
      <c r="AT12" s="51"/>
      <c r="AU12" s="51"/>
      <c r="AV12" s="51"/>
      <c r="AW12" s="51"/>
      <c r="AX12" s="72"/>
      <c r="AY12" s="51"/>
      <c r="AZ12" s="72"/>
      <c r="BA12" s="72"/>
      <c r="BB12" s="72"/>
      <c r="BC12" s="72"/>
      <c r="BD12" s="72"/>
      <c r="BE12" s="72"/>
      <c r="BF12" s="72"/>
      <c r="BG12" s="72"/>
      <c r="BH12" s="51"/>
      <c r="BI12" s="51"/>
      <c r="BJ12" s="51"/>
      <c r="BK12" s="51"/>
      <c r="BL12" s="51"/>
      <c r="BM12" s="51"/>
      <c r="BN12" s="51"/>
      <c r="BO12" s="83"/>
      <c r="BP12" s="51"/>
      <c r="BQ12" s="51"/>
      <c r="BU12" s="76"/>
      <c r="BV12" s="76"/>
      <c r="BW12" s="76"/>
      <c r="BX12" s="76"/>
      <c r="BY12" s="76"/>
      <c r="BZ12" s="76"/>
    </row>
    <row r="13" spans="1:78" s="9" customFormat="1" x14ac:dyDescent="0.2">
      <c r="N13" s="76"/>
      <c r="O13" s="72"/>
      <c r="P13" s="72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72"/>
      <c r="AJ13" s="72"/>
      <c r="AK13" s="72"/>
      <c r="AL13" s="72"/>
      <c r="AM13" s="72"/>
      <c r="AN13" s="72"/>
      <c r="AO13" s="51"/>
      <c r="AP13" s="51"/>
      <c r="AQ13" s="51"/>
      <c r="AR13" s="51"/>
      <c r="AS13" s="51"/>
      <c r="AT13" s="51"/>
      <c r="AU13" s="51"/>
      <c r="AV13" s="51"/>
      <c r="AW13" s="51"/>
      <c r="AX13" s="72"/>
      <c r="AY13" s="51"/>
      <c r="AZ13" s="72"/>
      <c r="BA13" s="72"/>
      <c r="BB13" s="72"/>
      <c r="BC13" s="72"/>
      <c r="BD13" s="72"/>
      <c r="BE13" s="72"/>
      <c r="BF13" s="72"/>
      <c r="BG13" s="72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U13" s="76"/>
      <c r="BV13" s="76"/>
      <c r="BW13" s="76"/>
      <c r="BX13" s="76"/>
      <c r="BY13" s="76"/>
      <c r="BZ13" s="76"/>
    </row>
    <row r="14" spans="1:78" s="9" customFormat="1" x14ac:dyDescent="0.2">
      <c r="A14" s="9" t="s">
        <v>96</v>
      </c>
      <c r="B14" s="9" t="s">
        <v>159</v>
      </c>
      <c r="C14" s="9" t="s">
        <v>77</v>
      </c>
      <c r="D14" s="9" t="s">
        <v>79</v>
      </c>
      <c r="E14" s="9" t="s">
        <v>78</v>
      </c>
      <c r="F14" s="9" t="s">
        <v>150</v>
      </c>
      <c r="G14" s="9" t="s">
        <v>151</v>
      </c>
      <c r="H14" s="9" t="s">
        <v>219</v>
      </c>
      <c r="I14" s="9" t="s">
        <v>220</v>
      </c>
      <c r="J14" s="9" t="s">
        <v>226</v>
      </c>
      <c r="K14" s="9" t="s">
        <v>227</v>
      </c>
      <c r="L14" s="9" t="s">
        <v>238</v>
      </c>
      <c r="M14" s="9" t="s">
        <v>239</v>
      </c>
      <c r="N14" s="51" t="s">
        <v>209</v>
      </c>
      <c r="O14" s="51" t="s">
        <v>210</v>
      </c>
      <c r="P14" s="51" t="s">
        <v>211</v>
      </c>
      <c r="Q14" s="51" t="s">
        <v>97</v>
      </c>
      <c r="R14" s="51" t="s">
        <v>98</v>
      </c>
      <c r="S14" s="51" t="s">
        <v>99</v>
      </c>
      <c r="T14" s="51" t="s">
        <v>100</v>
      </c>
      <c r="U14" s="51" t="s">
        <v>101</v>
      </c>
      <c r="V14" s="51" t="s">
        <v>102</v>
      </c>
      <c r="W14" s="51" t="s">
        <v>103</v>
      </c>
      <c r="X14" s="51" t="s">
        <v>104</v>
      </c>
      <c r="Y14" s="51" t="s">
        <v>105</v>
      </c>
      <c r="Z14" s="51" t="s">
        <v>106</v>
      </c>
      <c r="AA14" s="51" t="s">
        <v>107</v>
      </c>
      <c r="AB14" s="51" t="s">
        <v>108</v>
      </c>
      <c r="AC14" s="51" t="s">
        <v>109</v>
      </c>
      <c r="AD14" s="51" t="s">
        <v>110</v>
      </c>
      <c r="AE14" s="51" t="s">
        <v>111</v>
      </c>
      <c r="AF14" s="51" t="s">
        <v>112</v>
      </c>
      <c r="AG14" s="51" t="s">
        <v>113</v>
      </c>
      <c r="AH14" s="51" t="s">
        <v>114</v>
      </c>
      <c r="AI14" s="51" t="s">
        <v>168</v>
      </c>
      <c r="AJ14" s="51" t="s">
        <v>169</v>
      </c>
      <c r="AK14" s="51" t="s">
        <v>170</v>
      </c>
      <c r="AL14" s="51" t="s">
        <v>203</v>
      </c>
      <c r="AM14" s="51" t="s">
        <v>204</v>
      </c>
      <c r="AN14" s="51" t="s">
        <v>205</v>
      </c>
      <c r="AO14" s="51" t="s">
        <v>152</v>
      </c>
      <c r="AP14" s="51" t="s">
        <v>153</v>
      </c>
      <c r="AQ14" s="51" t="s">
        <v>154</v>
      </c>
      <c r="AR14" s="51" t="s">
        <v>155</v>
      </c>
      <c r="AS14" s="51" t="s">
        <v>162</v>
      </c>
      <c r="AT14" s="51" t="s">
        <v>156</v>
      </c>
      <c r="AU14" s="51" t="s">
        <v>163</v>
      </c>
      <c r="AV14" s="51" t="s">
        <v>157</v>
      </c>
      <c r="AW14" s="51" t="s">
        <v>164</v>
      </c>
      <c r="AX14" s="51" t="s">
        <v>167</v>
      </c>
      <c r="AY14" s="51" t="s">
        <v>166</v>
      </c>
      <c r="AZ14" s="51" t="s">
        <v>182</v>
      </c>
      <c r="BA14" s="51" t="s">
        <v>183</v>
      </c>
      <c r="BB14" s="51" t="s">
        <v>175</v>
      </c>
      <c r="BC14" s="51" t="s">
        <v>176</v>
      </c>
      <c r="BD14" s="51" t="s">
        <v>177</v>
      </c>
      <c r="BE14" s="72" t="s">
        <v>115</v>
      </c>
      <c r="BF14" s="72" t="s">
        <v>116</v>
      </c>
      <c r="BG14" s="72" t="s">
        <v>117</v>
      </c>
      <c r="BH14" s="51" t="s">
        <v>118</v>
      </c>
      <c r="BI14" s="51" t="s">
        <v>119</v>
      </c>
      <c r="BJ14" s="51" t="s">
        <v>120</v>
      </c>
      <c r="BK14" s="51" t="s">
        <v>121</v>
      </c>
      <c r="BL14" s="51" t="s">
        <v>122</v>
      </c>
      <c r="BM14" s="51" t="s">
        <v>123</v>
      </c>
      <c r="BN14" s="51" t="s">
        <v>124</v>
      </c>
      <c r="BO14" s="51" t="s">
        <v>125</v>
      </c>
      <c r="BP14" s="51" t="s">
        <v>126</v>
      </c>
      <c r="BQ14" s="51"/>
      <c r="BR14" s="9" t="s">
        <v>221</v>
      </c>
      <c r="BS14" s="9" t="s">
        <v>222</v>
      </c>
      <c r="BT14" s="9" t="s">
        <v>223</v>
      </c>
      <c r="BU14" s="51" t="s">
        <v>229</v>
      </c>
      <c r="BV14" s="51" t="s">
        <v>230</v>
      </c>
      <c r="BW14" s="51" t="s">
        <v>231</v>
      </c>
      <c r="BX14" s="51" t="s">
        <v>232</v>
      </c>
      <c r="BY14" s="51" t="s">
        <v>233</v>
      </c>
      <c r="BZ14" s="51" t="s">
        <v>234</v>
      </c>
    </row>
    <row r="15" spans="1:78" s="9" customFormat="1" x14ac:dyDescent="0.2">
      <c r="A15" s="9" t="s">
        <v>131</v>
      </c>
      <c r="B15" s="9" t="s">
        <v>58</v>
      </c>
      <c r="C15" s="28" t="s">
        <v>18</v>
      </c>
      <c r="D15" s="9" t="s">
        <v>29</v>
      </c>
      <c r="E15" s="9" t="s">
        <v>82</v>
      </c>
      <c r="F15" s="9">
        <v>1185</v>
      </c>
      <c r="G15" s="52" t="s">
        <v>12</v>
      </c>
      <c r="H15" s="9">
        <v>883</v>
      </c>
      <c r="I15" s="9">
        <v>113</v>
      </c>
      <c r="J15" s="9">
        <v>916</v>
      </c>
      <c r="K15" s="9">
        <v>109</v>
      </c>
      <c r="L15" s="9">
        <v>945</v>
      </c>
      <c r="M15" s="9">
        <v>115</v>
      </c>
      <c r="N15" s="83">
        <v>96.755660000000006</v>
      </c>
      <c r="O15" s="83">
        <v>112.62664685714286</v>
      </c>
      <c r="P15" s="83">
        <v>111.21047699999998</v>
      </c>
      <c r="Q15" s="85">
        <v>58.2</v>
      </c>
      <c r="R15" s="85">
        <v>61.4</v>
      </c>
      <c r="S15" s="85">
        <v>57</v>
      </c>
      <c r="T15" s="85">
        <v>6.7</v>
      </c>
      <c r="U15" s="85">
        <v>6.2</v>
      </c>
      <c r="V15" s="85">
        <v>6.7</v>
      </c>
      <c r="W15" s="85">
        <v>82.4</v>
      </c>
      <c r="X15" s="85">
        <v>80.400000000000006</v>
      </c>
      <c r="Y15" s="85">
        <v>84.1</v>
      </c>
      <c r="Z15" s="85">
        <v>20.2</v>
      </c>
      <c r="AA15" s="85">
        <v>22.6</v>
      </c>
      <c r="AB15" s="85">
        <v>22.6</v>
      </c>
      <c r="AC15" s="87">
        <v>1.93</v>
      </c>
      <c r="AD15" s="87">
        <v>2.09</v>
      </c>
      <c r="AE15" s="87">
        <v>2.0699999999999998</v>
      </c>
      <c r="AF15" s="87">
        <v>25.26</v>
      </c>
      <c r="AG15" s="87">
        <v>21.89</v>
      </c>
      <c r="AH15" s="87">
        <v>21.65</v>
      </c>
      <c r="AI15" s="85">
        <v>87</v>
      </c>
      <c r="AJ15" s="85">
        <v>88.3</v>
      </c>
      <c r="AK15" s="85">
        <v>85.6</v>
      </c>
      <c r="AL15" s="85">
        <v>3.5</v>
      </c>
      <c r="AM15" s="85">
        <v>2.9</v>
      </c>
      <c r="AN15" s="85">
        <v>2.5</v>
      </c>
      <c r="AO15" s="85">
        <v>2.2000000000000002</v>
      </c>
      <c r="AP15" s="85">
        <v>2.2999999999999998</v>
      </c>
      <c r="AQ15" s="85">
        <v>3.5</v>
      </c>
      <c r="AR15" s="51" t="s">
        <v>301</v>
      </c>
      <c r="AS15" s="51" t="s">
        <v>273</v>
      </c>
      <c r="AT15" s="51" t="s">
        <v>315</v>
      </c>
      <c r="AU15" s="51" t="s">
        <v>272</v>
      </c>
      <c r="AV15" s="51" t="s">
        <v>247</v>
      </c>
      <c r="AW15" s="51" t="s">
        <v>258</v>
      </c>
      <c r="AX15" s="83">
        <v>70.599999999999994</v>
      </c>
      <c r="AY15" s="51" t="s">
        <v>285</v>
      </c>
      <c r="AZ15" s="83">
        <v>67.3</v>
      </c>
      <c r="BA15" s="83">
        <v>68.099999999999994</v>
      </c>
      <c r="BB15" s="83">
        <v>51.1</v>
      </c>
      <c r="BC15" s="83">
        <v>53.8</v>
      </c>
      <c r="BD15" s="83">
        <v>59.2</v>
      </c>
      <c r="BE15" s="77"/>
      <c r="BF15" s="77"/>
      <c r="BG15" s="78"/>
      <c r="BH15" s="83">
        <v>92.7</v>
      </c>
      <c r="BI15" s="83">
        <v>86.5</v>
      </c>
      <c r="BJ15" s="83">
        <v>79.3</v>
      </c>
      <c r="BK15" s="83">
        <v>8.8000000000000007</v>
      </c>
      <c r="BL15" s="83">
        <v>5.8</v>
      </c>
      <c r="BM15" s="52">
        <v>6.4</v>
      </c>
      <c r="BN15" s="83">
        <v>48.7</v>
      </c>
      <c r="BO15" s="83">
        <v>45.1</v>
      </c>
      <c r="BP15" s="83">
        <v>45.8</v>
      </c>
      <c r="BQ15" s="83" t="s">
        <v>58</v>
      </c>
      <c r="BR15" s="90">
        <v>56.692056583242653</v>
      </c>
      <c r="BS15" s="90">
        <v>55.134281200631904</v>
      </c>
      <c r="BT15" s="90">
        <f>[1]Résultats!$T$96*100</f>
        <v>55.632062146892657</v>
      </c>
      <c r="BU15" s="83">
        <v>39.700000000000003</v>
      </c>
      <c r="BV15" s="83">
        <v>35.299999999999997</v>
      </c>
      <c r="BW15" s="83">
        <v>39.1</v>
      </c>
      <c r="BX15" s="83">
        <v>18.2</v>
      </c>
      <c r="BY15" s="83">
        <v>19.399999999999999</v>
      </c>
      <c r="BZ15" s="83">
        <v>19.2</v>
      </c>
    </row>
    <row r="16" spans="1:78" s="9" customFormat="1" x14ac:dyDescent="0.2">
      <c r="A16" s="9" t="s">
        <v>133</v>
      </c>
      <c r="B16" s="9" t="s">
        <v>59</v>
      </c>
      <c r="C16" s="9" t="s">
        <v>76</v>
      </c>
      <c r="D16" s="9" t="s">
        <v>29</v>
      </c>
      <c r="E16" s="9" t="s">
        <v>84</v>
      </c>
      <c r="F16" s="9">
        <v>459</v>
      </c>
      <c r="G16" s="52" t="s">
        <v>12</v>
      </c>
      <c r="H16" s="9">
        <v>346</v>
      </c>
      <c r="I16" s="9">
        <v>88</v>
      </c>
      <c r="J16" s="9">
        <v>352</v>
      </c>
      <c r="K16" s="9">
        <v>94</v>
      </c>
      <c r="L16" s="9">
        <v>352</v>
      </c>
      <c r="M16" s="9">
        <v>85</v>
      </c>
      <c r="N16" s="83">
        <v>99.060813999999993</v>
      </c>
      <c r="O16" s="83">
        <v>110.10901155555557</v>
      </c>
      <c r="P16" s="83">
        <v>111.21047699999998</v>
      </c>
      <c r="Q16" s="85">
        <v>48.3</v>
      </c>
      <c r="R16" s="85">
        <v>52.1</v>
      </c>
      <c r="S16" s="85">
        <v>57</v>
      </c>
      <c r="T16" s="85">
        <v>6.6</v>
      </c>
      <c r="U16" s="85">
        <v>7.4</v>
      </c>
      <c r="V16" s="85">
        <v>6.7</v>
      </c>
      <c r="W16" s="85">
        <v>91.9</v>
      </c>
      <c r="X16" s="85">
        <v>88.6</v>
      </c>
      <c r="Y16" s="85">
        <v>84.1</v>
      </c>
      <c r="Z16" s="85">
        <v>21.9</v>
      </c>
      <c r="AA16" s="85">
        <v>22.5</v>
      </c>
      <c r="AB16" s="85">
        <v>22.6</v>
      </c>
      <c r="AC16" s="87">
        <v>1.78</v>
      </c>
      <c r="AD16" s="87">
        <v>2.0499999999999998</v>
      </c>
      <c r="AE16" s="87">
        <v>2.0699999999999998</v>
      </c>
      <c r="AF16" s="87">
        <v>22</v>
      </c>
      <c r="AG16" s="87">
        <v>21.35</v>
      </c>
      <c r="AH16" s="87">
        <v>21.65</v>
      </c>
      <c r="AI16" s="85">
        <v>89.7</v>
      </c>
      <c r="AJ16" s="85">
        <v>82.4</v>
      </c>
      <c r="AK16" s="85">
        <v>85.6</v>
      </c>
      <c r="AL16" s="85">
        <v>0</v>
      </c>
      <c r="AM16" s="85">
        <v>1.9</v>
      </c>
      <c r="AN16" s="85">
        <v>2.5</v>
      </c>
      <c r="AO16" s="85">
        <v>5.0999999999999996</v>
      </c>
      <c r="AP16" s="85">
        <v>4.9000000000000004</v>
      </c>
      <c r="AQ16" s="85">
        <v>3.5</v>
      </c>
      <c r="AR16" s="51" t="s">
        <v>302</v>
      </c>
      <c r="AS16" s="51" t="s">
        <v>293</v>
      </c>
      <c r="AT16" s="51" t="s">
        <v>316</v>
      </c>
      <c r="AU16" s="51" t="s">
        <v>280</v>
      </c>
      <c r="AV16" s="51" t="s">
        <v>266</v>
      </c>
      <c r="AW16" s="51" t="s">
        <v>258</v>
      </c>
      <c r="AX16" s="83">
        <v>72.2</v>
      </c>
      <c r="AY16" s="51" t="s">
        <v>285</v>
      </c>
      <c r="AZ16" s="83">
        <v>69.2</v>
      </c>
      <c r="BA16" s="83">
        <v>68.099999999999994</v>
      </c>
      <c r="BB16" s="83">
        <v>65</v>
      </c>
      <c r="BC16" s="83">
        <v>63</v>
      </c>
      <c r="BD16" s="83">
        <v>59.2</v>
      </c>
      <c r="BE16" s="79"/>
      <c r="BF16" s="79"/>
      <c r="BG16" s="78"/>
      <c r="BH16" s="83">
        <v>61.9</v>
      </c>
      <c r="BI16" s="83">
        <v>66.7</v>
      </c>
      <c r="BJ16" s="83">
        <v>79.3</v>
      </c>
      <c r="BK16" s="83">
        <v>6.3</v>
      </c>
      <c r="BL16" s="83">
        <v>7.5</v>
      </c>
      <c r="BM16" s="52">
        <v>6.4</v>
      </c>
      <c r="BN16" s="83">
        <v>47.5</v>
      </c>
      <c r="BO16" s="83">
        <v>46.9</v>
      </c>
      <c r="BP16" s="83">
        <v>45.8</v>
      </c>
      <c r="BQ16" s="83" t="s">
        <v>59</v>
      </c>
      <c r="BR16" s="90">
        <v>58.959537572254341</v>
      </c>
      <c r="BS16" s="90">
        <v>56.262505002000793</v>
      </c>
      <c r="BT16" s="90">
        <v>55.632062146892657</v>
      </c>
      <c r="BU16" s="83">
        <v>51.4</v>
      </c>
      <c r="BV16" s="83">
        <v>45</v>
      </c>
      <c r="BW16" s="83">
        <v>39.1</v>
      </c>
      <c r="BX16" s="83">
        <v>20.5</v>
      </c>
      <c r="BY16" s="83">
        <v>18.8</v>
      </c>
      <c r="BZ16" s="83">
        <v>19.2</v>
      </c>
    </row>
    <row r="17" spans="1:78" s="9" customFormat="1" x14ac:dyDescent="0.2">
      <c r="A17" s="9" t="s">
        <v>134</v>
      </c>
      <c r="B17" s="9" t="s">
        <v>56</v>
      </c>
      <c r="C17" s="9" t="s">
        <v>76</v>
      </c>
      <c r="D17" s="9" t="s">
        <v>88</v>
      </c>
      <c r="E17" s="9" t="s">
        <v>84</v>
      </c>
      <c r="F17" s="9">
        <v>637</v>
      </c>
      <c r="G17" s="52" t="s">
        <v>12</v>
      </c>
      <c r="H17" s="9">
        <v>520</v>
      </c>
      <c r="I17" s="9">
        <v>40</v>
      </c>
      <c r="J17" s="9">
        <v>446</v>
      </c>
      <c r="K17" s="9">
        <v>25</v>
      </c>
      <c r="L17" s="9">
        <v>451</v>
      </c>
      <c r="M17" s="9">
        <v>21</v>
      </c>
      <c r="N17" s="83">
        <v>100.75947600000001</v>
      </c>
      <c r="O17" s="83">
        <v>110.10901155555557</v>
      </c>
      <c r="P17" s="83">
        <v>111.21047699999998</v>
      </c>
      <c r="Q17" s="85">
        <v>44.6</v>
      </c>
      <c r="R17" s="85">
        <v>52.1</v>
      </c>
      <c r="S17" s="85">
        <v>57</v>
      </c>
      <c r="T17" s="85">
        <v>4.7</v>
      </c>
      <c r="U17" s="85">
        <v>7.4</v>
      </c>
      <c r="V17" s="85">
        <v>6.7</v>
      </c>
      <c r="W17" s="85">
        <v>89.2</v>
      </c>
      <c r="X17" s="85">
        <v>88.6</v>
      </c>
      <c r="Y17" s="85">
        <v>84.1</v>
      </c>
      <c r="Z17" s="85">
        <v>19</v>
      </c>
      <c r="AA17" s="85">
        <v>22.5</v>
      </c>
      <c r="AB17" s="85">
        <v>22.6</v>
      </c>
      <c r="AC17" s="87">
        <v>2.33</v>
      </c>
      <c r="AD17" s="87">
        <v>2.0499999999999998</v>
      </c>
      <c r="AE17" s="87">
        <v>2.0699999999999998</v>
      </c>
      <c r="AF17" s="87">
        <v>18.47</v>
      </c>
      <c r="AG17" s="87">
        <v>21.35</v>
      </c>
      <c r="AH17" s="87">
        <v>21.65</v>
      </c>
      <c r="AI17" s="85">
        <v>69.400000000000006</v>
      </c>
      <c r="AJ17" s="85">
        <v>82.4</v>
      </c>
      <c r="AK17" s="85">
        <v>85.6</v>
      </c>
      <c r="AL17" s="85">
        <v>1.6</v>
      </c>
      <c r="AM17" s="85">
        <v>1.9</v>
      </c>
      <c r="AN17" s="85">
        <v>2.5</v>
      </c>
      <c r="AO17" s="85">
        <v>4</v>
      </c>
      <c r="AP17" s="85">
        <v>4.9000000000000004</v>
      </c>
      <c r="AQ17" s="85">
        <v>3.5</v>
      </c>
      <c r="AR17" s="51" t="s">
        <v>304</v>
      </c>
      <c r="AS17" s="51" t="s">
        <v>308</v>
      </c>
      <c r="AT17" s="51" t="s">
        <v>302</v>
      </c>
      <c r="AU17" s="51" t="s">
        <v>255</v>
      </c>
      <c r="AV17" s="51" t="s">
        <v>267</v>
      </c>
      <c r="AW17" s="51" t="s">
        <v>269</v>
      </c>
      <c r="AX17" s="83">
        <v>79.3</v>
      </c>
      <c r="AY17" s="51" t="s">
        <v>271</v>
      </c>
      <c r="AZ17" s="83">
        <v>69.2</v>
      </c>
      <c r="BA17" s="83">
        <v>68.099999999999994</v>
      </c>
      <c r="BB17" s="83">
        <v>57.1</v>
      </c>
      <c r="BC17" s="83">
        <v>63</v>
      </c>
      <c r="BD17" s="83">
        <v>59.2</v>
      </c>
      <c r="BE17" s="79"/>
      <c r="BF17" s="79"/>
      <c r="BG17" s="78"/>
      <c r="BH17" s="83">
        <v>60.8</v>
      </c>
      <c r="BI17" s="83">
        <v>66.7</v>
      </c>
      <c r="BJ17" s="83">
        <v>79.3</v>
      </c>
      <c r="BK17" s="83">
        <v>7.9</v>
      </c>
      <c r="BL17" s="83">
        <v>7.5</v>
      </c>
      <c r="BM17" s="52">
        <v>6.4</v>
      </c>
      <c r="BN17" s="83">
        <v>46.8</v>
      </c>
      <c r="BO17" s="83">
        <v>46.9</v>
      </c>
      <c r="BP17" s="83">
        <v>45.8</v>
      </c>
      <c r="BQ17" s="83" t="s">
        <v>56</v>
      </c>
      <c r="BR17" s="90">
        <v>66.021505376344081</v>
      </c>
      <c r="BS17" s="90">
        <v>56.262505002000793</v>
      </c>
      <c r="BT17" s="90">
        <v>55.632062146892657</v>
      </c>
      <c r="BU17" s="83">
        <v>32.4</v>
      </c>
      <c r="BV17" s="83">
        <v>45</v>
      </c>
      <c r="BW17" s="83">
        <v>39.1</v>
      </c>
      <c r="BX17" s="83">
        <v>18.2</v>
      </c>
      <c r="BY17" s="83">
        <v>18.8</v>
      </c>
      <c r="BZ17" s="83">
        <v>19.2</v>
      </c>
    </row>
    <row r="18" spans="1:78" s="9" customFormat="1" x14ac:dyDescent="0.2">
      <c r="A18" s="9" t="s">
        <v>135</v>
      </c>
      <c r="B18" s="9" t="s">
        <v>57</v>
      </c>
      <c r="C18" s="9" t="s">
        <v>76</v>
      </c>
      <c r="D18" s="9" t="s">
        <v>88</v>
      </c>
      <c r="E18" s="9" t="s">
        <v>84</v>
      </c>
      <c r="F18" s="9">
        <v>596</v>
      </c>
      <c r="G18" s="52" t="s">
        <v>12</v>
      </c>
      <c r="H18" s="9">
        <v>495</v>
      </c>
      <c r="I18" s="9">
        <v>59</v>
      </c>
      <c r="J18" s="9">
        <v>480</v>
      </c>
      <c r="K18" s="9">
        <v>59</v>
      </c>
      <c r="L18" s="9">
        <v>474</v>
      </c>
      <c r="M18" s="9">
        <v>58</v>
      </c>
      <c r="N18" s="83">
        <v>100.75947600000001</v>
      </c>
      <c r="O18" s="83">
        <v>110.10901155555557</v>
      </c>
      <c r="P18" s="83">
        <v>111.21047699999998</v>
      </c>
      <c r="Q18" s="85">
        <v>56.4</v>
      </c>
      <c r="R18" s="85">
        <v>52.1</v>
      </c>
      <c r="S18" s="85">
        <v>57</v>
      </c>
      <c r="T18" s="85">
        <v>12.1</v>
      </c>
      <c r="U18" s="85">
        <v>7.4</v>
      </c>
      <c r="V18" s="85">
        <v>6.7</v>
      </c>
      <c r="W18" s="85">
        <v>91</v>
      </c>
      <c r="X18" s="85">
        <v>88.6</v>
      </c>
      <c r="Y18" s="85">
        <v>84.1</v>
      </c>
      <c r="Z18" s="85">
        <v>22.7</v>
      </c>
      <c r="AA18" s="85">
        <v>22.5</v>
      </c>
      <c r="AB18" s="85">
        <v>22.6</v>
      </c>
      <c r="AC18" s="87">
        <v>1.97</v>
      </c>
      <c r="AD18" s="87">
        <v>2.0499999999999998</v>
      </c>
      <c r="AE18" s="87">
        <v>2.0699999999999998</v>
      </c>
      <c r="AF18" s="87">
        <v>24</v>
      </c>
      <c r="AG18" s="87">
        <v>21.35</v>
      </c>
      <c r="AH18" s="87">
        <v>21.65</v>
      </c>
      <c r="AI18" s="85">
        <v>82.4</v>
      </c>
      <c r="AJ18" s="85">
        <v>82.4</v>
      </c>
      <c r="AK18" s="85">
        <v>85.6</v>
      </c>
      <c r="AL18" s="85">
        <v>5.9</v>
      </c>
      <c r="AM18" s="85">
        <v>1.9</v>
      </c>
      <c r="AN18" s="85">
        <v>2.5</v>
      </c>
      <c r="AO18" s="85">
        <v>1</v>
      </c>
      <c r="AP18" s="85">
        <v>4.9000000000000004</v>
      </c>
      <c r="AQ18" s="85">
        <v>3.5</v>
      </c>
      <c r="AR18" s="51" t="s">
        <v>305</v>
      </c>
      <c r="AS18" s="51" t="s">
        <v>282</v>
      </c>
      <c r="AT18" s="51" t="s">
        <v>317</v>
      </c>
      <c r="AU18" s="51" t="s">
        <v>255</v>
      </c>
      <c r="AV18" s="51" t="s">
        <v>323</v>
      </c>
      <c r="AW18" s="51" t="s">
        <v>255</v>
      </c>
      <c r="AX18" s="83">
        <v>53.1</v>
      </c>
      <c r="AY18" s="51" t="s">
        <v>291</v>
      </c>
      <c r="AZ18" s="83">
        <v>69.2</v>
      </c>
      <c r="BA18" s="83">
        <v>68.099999999999994</v>
      </c>
      <c r="BB18" s="83">
        <v>66.7</v>
      </c>
      <c r="BC18" s="83">
        <v>63</v>
      </c>
      <c r="BD18" s="83">
        <v>59.2</v>
      </c>
      <c r="BE18" s="79"/>
      <c r="BF18" s="79"/>
      <c r="BG18" s="78"/>
      <c r="BH18" s="83">
        <v>71.7</v>
      </c>
      <c r="BI18" s="83">
        <v>66.7</v>
      </c>
      <c r="BJ18" s="83">
        <v>79.3</v>
      </c>
      <c r="BK18" s="83">
        <v>8</v>
      </c>
      <c r="BL18" s="83">
        <v>7.5</v>
      </c>
      <c r="BM18" s="52">
        <v>6.4</v>
      </c>
      <c r="BN18" s="83">
        <v>45.2</v>
      </c>
      <c r="BO18" s="83">
        <v>46.9</v>
      </c>
      <c r="BP18" s="83">
        <v>45.8</v>
      </c>
      <c r="BQ18" s="83" t="s">
        <v>57</v>
      </c>
      <c r="BR18" s="90">
        <v>50.306748466257666</v>
      </c>
      <c r="BS18" s="90">
        <v>56.262505002000793</v>
      </c>
      <c r="BT18" s="90">
        <v>55.632062146892657</v>
      </c>
      <c r="BU18" s="83">
        <v>41.4</v>
      </c>
      <c r="BV18" s="83">
        <v>45</v>
      </c>
      <c r="BW18" s="83">
        <v>39.1</v>
      </c>
      <c r="BX18" s="83">
        <v>23.3</v>
      </c>
      <c r="BY18" s="83">
        <v>18.8</v>
      </c>
      <c r="BZ18" s="83">
        <v>19.2</v>
      </c>
    </row>
    <row r="19" spans="1:78" s="9" customFormat="1" x14ac:dyDescent="0.2">
      <c r="A19" s="9" t="s">
        <v>136</v>
      </c>
      <c r="B19" s="9" t="s">
        <v>60</v>
      </c>
      <c r="C19" s="9" t="s">
        <v>76</v>
      </c>
      <c r="D19" s="9" t="s">
        <v>89</v>
      </c>
      <c r="E19" s="9" t="s">
        <v>84</v>
      </c>
      <c r="F19" s="9">
        <v>334</v>
      </c>
      <c r="G19" s="52" t="s">
        <v>12</v>
      </c>
      <c r="H19" s="9">
        <v>265</v>
      </c>
      <c r="I19" s="9">
        <v>56</v>
      </c>
      <c r="J19" s="9">
        <v>258</v>
      </c>
      <c r="K19" s="9">
        <v>58</v>
      </c>
      <c r="L19" s="9">
        <v>265</v>
      </c>
      <c r="M19" s="9">
        <v>50</v>
      </c>
      <c r="N19" s="83">
        <v>114.14464599999999</v>
      </c>
      <c r="O19" s="83">
        <v>110.10901155555557</v>
      </c>
      <c r="P19" s="83">
        <v>111.21047699999998</v>
      </c>
      <c r="Q19" s="85">
        <v>53.1</v>
      </c>
      <c r="R19" s="85">
        <v>52.1</v>
      </c>
      <c r="S19" s="85">
        <v>57</v>
      </c>
      <c r="T19" s="85">
        <v>8.6999999999999993</v>
      </c>
      <c r="U19" s="85">
        <v>7.4</v>
      </c>
      <c r="V19" s="85">
        <v>6.7</v>
      </c>
      <c r="W19" s="85">
        <v>87.5</v>
      </c>
      <c r="X19" s="85">
        <v>88.6</v>
      </c>
      <c r="Y19" s="85">
        <v>84.1</v>
      </c>
      <c r="Z19" s="85">
        <v>17.899999999999999</v>
      </c>
      <c r="AA19" s="85">
        <v>22.5</v>
      </c>
      <c r="AB19" s="85">
        <v>22.6</v>
      </c>
      <c r="AC19" s="87">
        <v>1.87</v>
      </c>
      <c r="AD19" s="87">
        <v>2.0499999999999998</v>
      </c>
      <c r="AE19" s="87">
        <v>2.0699999999999998</v>
      </c>
      <c r="AF19" s="87">
        <v>23.44</v>
      </c>
      <c r="AG19" s="87">
        <v>21.35</v>
      </c>
      <c r="AH19" s="87">
        <v>21.65</v>
      </c>
      <c r="AI19" s="85">
        <v>83.1</v>
      </c>
      <c r="AJ19" s="85">
        <v>82.4</v>
      </c>
      <c r="AK19" s="85">
        <v>85.6</v>
      </c>
      <c r="AL19" s="85">
        <v>0</v>
      </c>
      <c r="AM19" s="85">
        <v>1.9</v>
      </c>
      <c r="AN19" s="85">
        <v>2.5</v>
      </c>
      <c r="AO19" s="85">
        <v>6.2</v>
      </c>
      <c r="AP19" s="85">
        <v>4.9000000000000004</v>
      </c>
      <c r="AQ19" s="85">
        <v>3.5</v>
      </c>
      <c r="AR19" s="51" t="s">
        <v>295</v>
      </c>
      <c r="AS19" s="51" t="s">
        <v>257</v>
      </c>
      <c r="AT19" s="51" t="s">
        <v>246</v>
      </c>
      <c r="AU19" s="51" t="s">
        <v>273</v>
      </c>
      <c r="AV19" s="51" t="s">
        <v>262</v>
      </c>
      <c r="AW19" s="51" t="s">
        <v>286</v>
      </c>
      <c r="AX19" s="83">
        <v>81.5</v>
      </c>
      <c r="AY19" s="51" t="s">
        <v>269</v>
      </c>
      <c r="AZ19" s="83">
        <v>69.2</v>
      </c>
      <c r="BA19" s="83">
        <v>68.099999999999994</v>
      </c>
      <c r="BB19" s="83">
        <v>57.1</v>
      </c>
      <c r="BC19" s="83">
        <v>63</v>
      </c>
      <c r="BD19" s="83">
        <v>59.2</v>
      </c>
      <c r="BE19" s="79"/>
      <c r="BF19" s="79"/>
      <c r="BG19" s="78"/>
      <c r="BH19" s="83">
        <v>71.5</v>
      </c>
      <c r="BI19" s="83">
        <v>66.7</v>
      </c>
      <c r="BJ19" s="83">
        <v>79.3</v>
      </c>
      <c r="BK19" s="83">
        <v>8</v>
      </c>
      <c r="BL19" s="83">
        <v>7.5</v>
      </c>
      <c r="BM19" s="52">
        <v>6.4</v>
      </c>
      <c r="BN19" s="83">
        <v>49.4</v>
      </c>
      <c r="BO19" s="83">
        <v>46.9</v>
      </c>
      <c r="BP19" s="83">
        <v>45.8</v>
      </c>
      <c r="BQ19" s="83" t="s">
        <v>60</v>
      </c>
      <c r="BR19" s="90">
        <v>49.576271186440678</v>
      </c>
      <c r="BS19" s="90">
        <v>56.262505002000793</v>
      </c>
      <c r="BT19" s="90">
        <v>55.632062146892657</v>
      </c>
      <c r="BU19" s="83">
        <v>53.4</v>
      </c>
      <c r="BV19" s="83">
        <v>45</v>
      </c>
      <c r="BW19" s="83">
        <v>39.1</v>
      </c>
      <c r="BX19" s="83">
        <v>19.399999999999999</v>
      </c>
      <c r="BY19" s="83">
        <v>18.8</v>
      </c>
      <c r="BZ19" s="83">
        <v>19.2</v>
      </c>
    </row>
    <row r="20" spans="1:78" s="9" customFormat="1" x14ac:dyDescent="0.2">
      <c r="A20" s="9" t="s">
        <v>137</v>
      </c>
      <c r="B20" s="9" t="s">
        <v>61</v>
      </c>
      <c r="C20" s="9" t="s">
        <v>76</v>
      </c>
      <c r="D20" s="9" t="s">
        <v>91</v>
      </c>
      <c r="E20" s="9" t="s">
        <v>84</v>
      </c>
      <c r="F20" s="9">
        <v>121</v>
      </c>
      <c r="G20" s="52" t="s">
        <v>12</v>
      </c>
      <c r="H20" s="9">
        <v>70</v>
      </c>
      <c r="I20" s="52" t="s">
        <v>12</v>
      </c>
      <c r="J20" s="9">
        <v>61</v>
      </c>
      <c r="K20" s="52" t="s">
        <v>12</v>
      </c>
      <c r="L20" s="9">
        <v>57</v>
      </c>
      <c r="M20" s="52" t="s">
        <v>12</v>
      </c>
      <c r="N20" s="83">
        <v>162.76181</v>
      </c>
      <c r="O20" s="83">
        <v>110.10901155555557</v>
      </c>
      <c r="P20" s="83">
        <v>111.21047699999998</v>
      </c>
      <c r="Q20" s="85">
        <v>73.099999999999994</v>
      </c>
      <c r="R20" s="85">
        <v>52.1</v>
      </c>
      <c r="S20" s="85">
        <v>57</v>
      </c>
      <c r="T20" s="85">
        <v>0</v>
      </c>
      <c r="U20" s="85">
        <v>7.4</v>
      </c>
      <c r="V20" s="85">
        <v>6.7</v>
      </c>
      <c r="W20" s="85">
        <v>71.7</v>
      </c>
      <c r="X20" s="85">
        <v>88.6</v>
      </c>
      <c r="Y20" s="85">
        <v>84.1</v>
      </c>
      <c r="Z20" s="85">
        <v>100</v>
      </c>
      <c r="AA20" s="85">
        <v>22.5</v>
      </c>
      <c r="AB20" s="85">
        <v>22.6</v>
      </c>
      <c r="AC20" s="87">
        <v>3.9</v>
      </c>
      <c r="AD20" s="87">
        <v>2.0499999999999998</v>
      </c>
      <c r="AE20" s="87">
        <v>2.0699999999999998</v>
      </c>
      <c r="AF20" s="87">
        <v>9.33</v>
      </c>
      <c r="AG20" s="87">
        <v>21.35</v>
      </c>
      <c r="AH20" s="87">
        <v>21.65</v>
      </c>
      <c r="AI20" s="85">
        <v>100</v>
      </c>
      <c r="AJ20" s="85">
        <v>82.4</v>
      </c>
      <c r="AK20" s="85">
        <v>85.6</v>
      </c>
      <c r="AL20" s="85">
        <v>0</v>
      </c>
      <c r="AM20" s="85">
        <v>1.9</v>
      </c>
      <c r="AN20" s="85">
        <v>2.5</v>
      </c>
      <c r="AO20" s="85">
        <v>0</v>
      </c>
      <c r="AP20" s="85">
        <v>4.9000000000000004</v>
      </c>
      <c r="AQ20" s="85">
        <v>3.5</v>
      </c>
      <c r="AR20" s="51" t="s">
        <v>302</v>
      </c>
      <c r="AS20" s="51" t="s">
        <v>292</v>
      </c>
      <c r="AT20" s="51" t="s">
        <v>318</v>
      </c>
      <c r="AU20" s="51" t="s">
        <v>292</v>
      </c>
      <c r="AV20" s="51" t="s">
        <v>318</v>
      </c>
      <c r="AW20" s="51" t="s">
        <v>292</v>
      </c>
      <c r="AX20" s="83">
        <v>50</v>
      </c>
      <c r="AY20" s="51" t="s">
        <v>292</v>
      </c>
      <c r="AZ20" s="83">
        <v>69.2</v>
      </c>
      <c r="BA20" s="83">
        <v>68.099999999999994</v>
      </c>
      <c r="BB20" s="83" t="s">
        <v>12</v>
      </c>
      <c r="BC20" s="83">
        <v>63</v>
      </c>
      <c r="BD20" s="83">
        <v>59.2</v>
      </c>
      <c r="BE20" s="79"/>
      <c r="BF20" s="79"/>
      <c r="BG20" s="78"/>
      <c r="BH20" s="83">
        <v>50.6</v>
      </c>
      <c r="BI20" s="83">
        <v>66.7</v>
      </c>
      <c r="BJ20" s="83">
        <v>79.3</v>
      </c>
      <c r="BK20" s="83">
        <v>5.7</v>
      </c>
      <c r="BL20" s="83">
        <v>7.5</v>
      </c>
      <c r="BM20" s="52">
        <v>6.4</v>
      </c>
      <c r="BN20" s="83">
        <v>43.2</v>
      </c>
      <c r="BO20" s="83">
        <v>46.9</v>
      </c>
      <c r="BP20" s="83">
        <v>45.8</v>
      </c>
      <c r="BQ20" s="83" t="s">
        <v>61</v>
      </c>
      <c r="BR20" s="90">
        <v>59.259259259259252</v>
      </c>
      <c r="BS20" s="90">
        <v>56.262505002000793</v>
      </c>
      <c r="BT20" s="90">
        <v>55.632062146892657</v>
      </c>
      <c r="BU20" s="83">
        <v>0</v>
      </c>
      <c r="BV20" s="83">
        <v>45</v>
      </c>
      <c r="BW20" s="83">
        <v>39.1</v>
      </c>
      <c r="BX20" s="83">
        <v>0</v>
      </c>
      <c r="BY20" s="83">
        <v>18.8</v>
      </c>
      <c r="BZ20" s="83">
        <v>19.2</v>
      </c>
    </row>
    <row r="21" spans="1:78" s="9" customFormat="1" x14ac:dyDescent="0.2">
      <c r="A21" s="9" t="s">
        <v>138</v>
      </c>
      <c r="B21" s="9" t="s">
        <v>62</v>
      </c>
      <c r="C21" s="9" t="s">
        <v>76</v>
      </c>
      <c r="D21" s="9" t="s">
        <v>89</v>
      </c>
      <c r="E21" s="9" t="s">
        <v>84</v>
      </c>
      <c r="F21" s="9">
        <v>385</v>
      </c>
      <c r="G21" s="52" t="s">
        <v>12</v>
      </c>
      <c r="H21" s="9">
        <v>291</v>
      </c>
      <c r="I21" s="52" t="s">
        <v>12</v>
      </c>
      <c r="J21" s="9">
        <v>281</v>
      </c>
      <c r="K21" s="52" t="s">
        <v>12</v>
      </c>
      <c r="L21" s="9">
        <v>289</v>
      </c>
      <c r="M21" s="52" t="s">
        <v>12</v>
      </c>
      <c r="N21" s="83">
        <v>114.14464599999999</v>
      </c>
      <c r="O21" s="83">
        <v>110.10901155555557</v>
      </c>
      <c r="P21" s="83">
        <v>111.21047699999998</v>
      </c>
      <c r="Q21" s="85">
        <v>64.099999999999994</v>
      </c>
      <c r="R21" s="85">
        <v>52.1</v>
      </c>
      <c r="S21" s="85">
        <v>57</v>
      </c>
      <c r="T21" s="85">
        <v>7.5</v>
      </c>
      <c r="U21" s="85">
        <v>7.4</v>
      </c>
      <c r="V21" s="85">
        <v>6.7</v>
      </c>
      <c r="W21" s="85">
        <v>86.4</v>
      </c>
      <c r="X21" s="85">
        <v>88.6</v>
      </c>
      <c r="Y21" s="85">
        <v>84.1</v>
      </c>
      <c r="Z21" s="85">
        <v>25</v>
      </c>
      <c r="AA21" s="85">
        <v>22.5</v>
      </c>
      <c r="AB21" s="85">
        <v>22.6</v>
      </c>
      <c r="AC21" s="87">
        <v>2.85</v>
      </c>
      <c r="AD21" s="87">
        <v>2.0499999999999998</v>
      </c>
      <c r="AE21" s="87">
        <v>2.0699999999999998</v>
      </c>
      <c r="AF21" s="87">
        <v>19.25</v>
      </c>
      <c r="AG21" s="87">
        <v>21.35</v>
      </c>
      <c r="AH21" s="87">
        <v>21.65</v>
      </c>
      <c r="AI21" s="85">
        <v>82</v>
      </c>
      <c r="AJ21" s="85">
        <v>82.4</v>
      </c>
      <c r="AK21" s="85">
        <v>85.6</v>
      </c>
      <c r="AL21" s="85">
        <v>0</v>
      </c>
      <c r="AM21" s="85">
        <v>1.9</v>
      </c>
      <c r="AN21" s="85">
        <v>2.5</v>
      </c>
      <c r="AO21" s="85">
        <v>2</v>
      </c>
      <c r="AP21" s="85">
        <v>4.9000000000000004</v>
      </c>
      <c r="AQ21" s="85">
        <v>3.5</v>
      </c>
      <c r="AR21" s="51" t="s">
        <v>296</v>
      </c>
      <c r="AS21" s="51" t="s">
        <v>273</v>
      </c>
      <c r="AT21" s="51" t="s">
        <v>310</v>
      </c>
      <c r="AU21" s="51" t="s">
        <v>282</v>
      </c>
      <c r="AV21" s="51" t="s">
        <v>320</v>
      </c>
      <c r="AW21" s="51" t="s">
        <v>282</v>
      </c>
      <c r="AX21" s="83">
        <v>71.2</v>
      </c>
      <c r="AY21" s="51" t="s">
        <v>258</v>
      </c>
      <c r="AZ21" s="83">
        <v>69.2</v>
      </c>
      <c r="BA21" s="83">
        <v>68.099999999999994</v>
      </c>
      <c r="BB21" s="83" t="s">
        <v>12</v>
      </c>
      <c r="BC21" s="83">
        <v>63</v>
      </c>
      <c r="BD21" s="83">
        <v>59.2</v>
      </c>
      <c r="BE21" s="79"/>
      <c r="BF21" s="79"/>
      <c r="BG21" s="78"/>
      <c r="BH21" s="83">
        <v>78.400000000000006</v>
      </c>
      <c r="BI21" s="83">
        <v>66.7</v>
      </c>
      <c r="BJ21" s="83">
        <v>79.3</v>
      </c>
      <c r="BK21" s="83">
        <v>8.1999999999999993</v>
      </c>
      <c r="BL21" s="83">
        <v>7.5</v>
      </c>
      <c r="BM21" s="52">
        <v>6.4</v>
      </c>
      <c r="BN21" s="83">
        <v>46.2</v>
      </c>
      <c r="BO21" s="83">
        <v>46.9</v>
      </c>
      <c r="BP21" s="83">
        <v>45.8</v>
      </c>
      <c r="BQ21" s="83" t="s">
        <v>62</v>
      </c>
      <c r="BR21" s="90">
        <v>65.753424657534239</v>
      </c>
      <c r="BS21" s="90">
        <v>56.262505002000793</v>
      </c>
      <c r="BT21" s="90">
        <v>55.632062146892657</v>
      </c>
      <c r="BU21" s="83">
        <v>45.2</v>
      </c>
      <c r="BV21" s="83">
        <v>45</v>
      </c>
      <c r="BW21" s="83">
        <v>39.1</v>
      </c>
      <c r="BX21" s="83">
        <v>24.3</v>
      </c>
      <c r="BY21" s="83">
        <v>18.8</v>
      </c>
      <c r="BZ21" s="83">
        <v>19.2</v>
      </c>
    </row>
    <row r="22" spans="1:78" s="9" customFormat="1" x14ac:dyDescent="0.2">
      <c r="A22" s="9" t="s">
        <v>139</v>
      </c>
      <c r="B22" s="9" t="s">
        <v>63</v>
      </c>
      <c r="C22" s="9" t="s">
        <v>76</v>
      </c>
      <c r="D22" s="9" t="s">
        <v>90</v>
      </c>
      <c r="E22" s="9" t="s">
        <v>84</v>
      </c>
      <c r="F22" s="9">
        <v>153</v>
      </c>
      <c r="G22" s="52" t="s">
        <v>12</v>
      </c>
      <c r="H22" s="9">
        <v>114</v>
      </c>
      <c r="I22" s="52" t="s">
        <v>12</v>
      </c>
      <c r="J22" s="9">
        <v>78</v>
      </c>
      <c r="K22" s="52" t="s">
        <v>12</v>
      </c>
      <c r="L22" s="9">
        <v>34</v>
      </c>
      <c r="M22" s="52" t="s">
        <v>12</v>
      </c>
      <c r="N22" s="83">
        <v>129.99193</v>
      </c>
      <c r="O22" s="83">
        <v>110.10901155555557</v>
      </c>
      <c r="P22" s="83">
        <v>111.21047699999998</v>
      </c>
      <c r="Q22" s="85">
        <v>48.6</v>
      </c>
      <c r="R22" s="85">
        <v>52.1</v>
      </c>
      <c r="S22" s="85">
        <v>57</v>
      </c>
      <c r="T22" s="85">
        <v>1.8</v>
      </c>
      <c r="U22" s="85">
        <v>7.4</v>
      </c>
      <c r="V22" s="85">
        <v>6.7</v>
      </c>
      <c r="W22" s="85">
        <v>82.8</v>
      </c>
      <c r="X22" s="85">
        <v>88.6</v>
      </c>
      <c r="Y22" s="85">
        <v>84.1</v>
      </c>
      <c r="Z22" s="85">
        <v>0</v>
      </c>
      <c r="AA22" s="85">
        <v>22.5</v>
      </c>
      <c r="AB22" s="85">
        <v>22.6</v>
      </c>
      <c r="AC22" s="87">
        <v>4.78</v>
      </c>
      <c r="AD22" s="87">
        <v>2.0499999999999998</v>
      </c>
      <c r="AE22" s="87">
        <v>2.0699999999999998</v>
      </c>
      <c r="AF22" s="87">
        <v>5.33</v>
      </c>
      <c r="AG22" s="87">
        <v>21.35</v>
      </c>
      <c r="AH22" s="87">
        <v>21.65</v>
      </c>
      <c r="AI22" s="85">
        <v>55.6</v>
      </c>
      <c r="AJ22" s="85">
        <v>82.4</v>
      </c>
      <c r="AK22" s="85">
        <v>85.6</v>
      </c>
      <c r="AL22" s="85">
        <v>0</v>
      </c>
      <c r="AM22" s="85">
        <v>1.9</v>
      </c>
      <c r="AN22" s="85">
        <v>2.5</v>
      </c>
      <c r="AO22" s="85">
        <v>0</v>
      </c>
      <c r="AP22" s="85">
        <v>4.9000000000000004</v>
      </c>
      <c r="AQ22" s="85">
        <v>3.5</v>
      </c>
      <c r="AR22" s="51" t="s">
        <v>297</v>
      </c>
      <c r="AS22" s="51" t="s">
        <v>307</v>
      </c>
      <c r="AT22" s="51" t="s">
        <v>311</v>
      </c>
      <c r="AU22" s="51" t="s">
        <v>321</v>
      </c>
      <c r="AV22" s="51" t="s">
        <v>312</v>
      </c>
      <c r="AW22" s="51" t="s">
        <v>291</v>
      </c>
      <c r="AX22" s="83">
        <v>87.5</v>
      </c>
      <c r="AY22" s="51" t="s">
        <v>287</v>
      </c>
      <c r="AZ22" s="83">
        <v>69.2</v>
      </c>
      <c r="BA22" s="83">
        <v>68.099999999999994</v>
      </c>
      <c r="BB22" s="83" t="s">
        <v>12</v>
      </c>
      <c r="BC22" s="83">
        <v>63</v>
      </c>
      <c r="BD22" s="83">
        <v>59.2</v>
      </c>
      <c r="BE22" s="79"/>
      <c r="BF22" s="79"/>
      <c r="BG22" s="78"/>
      <c r="BH22" s="83">
        <v>44.4</v>
      </c>
      <c r="BI22" s="83">
        <v>66.7</v>
      </c>
      <c r="BJ22" s="83">
        <v>79.3</v>
      </c>
      <c r="BK22" s="83">
        <v>4.9000000000000004</v>
      </c>
      <c r="BL22" s="83">
        <v>7.5</v>
      </c>
      <c r="BM22" s="52">
        <v>6.4</v>
      </c>
      <c r="BN22" s="83">
        <v>43.3</v>
      </c>
      <c r="BO22" s="83">
        <v>46.9</v>
      </c>
      <c r="BP22" s="83">
        <v>45.8</v>
      </c>
      <c r="BQ22" s="83" t="s">
        <v>63</v>
      </c>
      <c r="BR22" s="90">
        <v>56.043956043956044</v>
      </c>
      <c r="BS22" s="90">
        <v>56.262505002000793</v>
      </c>
      <c r="BT22" s="90">
        <v>55.632062146892657</v>
      </c>
      <c r="BU22" s="83">
        <v>33.299999999999997</v>
      </c>
      <c r="BV22" s="83">
        <v>45</v>
      </c>
      <c r="BW22" s="83">
        <v>39.1</v>
      </c>
      <c r="BX22" s="83">
        <v>0</v>
      </c>
      <c r="BY22" s="83">
        <v>18.8</v>
      </c>
      <c r="BZ22" s="83">
        <v>19.2</v>
      </c>
    </row>
    <row r="23" spans="1:78" s="9" customFormat="1" x14ac:dyDescent="0.2">
      <c r="A23" s="9" t="s">
        <v>140</v>
      </c>
      <c r="B23" s="9" t="s">
        <v>64</v>
      </c>
      <c r="C23" s="28" t="s">
        <v>18</v>
      </c>
      <c r="D23" s="9" t="s">
        <v>29</v>
      </c>
      <c r="E23" s="9" t="s">
        <v>82</v>
      </c>
      <c r="F23" s="9">
        <v>838</v>
      </c>
      <c r="G23" s="9">
        <v>44</v>
      </c>
      <c r="H23" s="9">
        <v>724</v>
      </c>
      <c r="I23" s="9">
        <v>58</v>
      </c>
      <c r="J23" s="9">
        <v>733</v>
      </c>
      <c r="K23" s="9">
        <v>65</v>
      </c>
      <c r="L23" s="9">
        <v>718</v>
      </c>
      <c r="M23" s="9">
        <v>62</v>
      </c>
      <c r="N23" s="83">
        <v>99.144080000000002</v>
      </c>
      <c r="O23" s="83">
        <v>112.62664685714286</v>
      </c>
      <c r="P23" s="83">
        <v>111.21047699999998</v>
      </c>
      <c r="Q23" s="85">
        <v>61.8</v>
      </c>
      <c r="R23" s="85">
        <v>61.4</v>
      </c>
      <c r="S23" s="85">
        <v>57</v>
      </c>
      <c r="T23" s="85">
        <v>4.9000000000000004</v>
      </c>
      <c r="U23" s="85">
        <v>6.2</v>
      </c>
      <c r="V23" s="85">
        <v>6.7</v>
      </c>
      <c r="W23" s="85">
        <v>79.7</v>
      </c>
      <c r="X23" s="85">
        <v>80.400000000000006</v>
      </c>
      <c r="Y23" s="85">
        <v>84.1</v>
      </c>
      <c r="Z23" s="85">
        <v>24.8</v>
      </c>
      <c r="AA23" s="85">
        <v>22.6</v>
      </c>
      <c r="AB23" s="85">
        <v>22.6</v>
      </c>
      <c r="AC23" s="87">
        <v>2.08</v>
      </c>
      <c r="AD23" s="87">
        <v>2.09</v>
      </c>
      <c r="AE23" s="87">
        <v>2.0699999999999998</v>
      </c>
      <c r="AF23" s="87">
        <v>22.54</v>
      </c>
      <c r="AG23" s="87">
        <v>21.89</v>
      </c>
      <c r="AH23" s="87">
        <v>21.65</v>
      </c>
      <c r="AI23" s="85">
        <v>93.2</v>
      </c>
      <c r="AJ23" s="85">
        <v>88.3</v>
      </c>
      <c r="AK23" s="85">
        <v>85.6</v>
      </c>
      <c r="AL23" s="85">
        <v>1.7</v>
      </c>
      <c r="AM23" s="85">
        <v>2.9</v>
      </c>
      <c r="AN23" s="85">
        <v>2.5</v>
      </c>
      <c r="AO23" s="85">
        <v>2.8</v>
      </c>
      <c r="AP23" s="85">
        <v>2.2999999999999998</v>
      </c>
      <c r="AQ23" s="85">
        <v>3.5</v>
      </c>
      <c r="AR23" s="51" t="s">
        <v>301</v>
      </c>
      <c r="AS23" s="51" t="s">
        <v>270</v>
      </c>
      <c r="AT23" s="51" t="s">
        <v>302</v>
      </c>
      <c r="AU23" s="51" t="s">
        <v>272</v>
      </c>
      <c r="AV23" s="51" t="s">
        <v>319</v>
      </c>
      <c r="AW23" s="51" t="s">
        <v>259</v>
      </c>
      <c r="AX23" s="83">
        <v>59.8</v>
      </c>
      <c r="AY23" s="51" t="s">
        <v>290</v>
      </c>
      <c r="AZ23" s="83">
        <v>67.3</v>
      </c>
      <c r="BA23" s="83">
        <v>68.099999999999994</v>
      </c>
      <c r="BB23" s="83">
        <v>60</v>
      </c>
      <c r="BC23" s="83">
        <v>53.8</v>
      </c>
      <c r="BD23" s="83">
        <v>59.2</v>
      </c>
      <c r="BE23" s="77"/>
      <c r="BF23" s="77"/>
      <c r="BG23" s="78"/>
      <c r="BH23" s="83">
        <v>89.3</v>
      </c>
      <c r="BI23" s="83">
        <v>86.5</v>
      </c>
      <c r="BJ23" s="83">
        <v>79.3</v>
      </c>
      <c r="BK23" s="83">
        <v>8.3000000000000007</v>
      </c>
      <c r="BL23" s="83">
        <v>5.8</v>
      </c>
      <c r="BM23" s="52">
        <v>6.4</v>
      </c>
      <c r="BN23" s="83">
        <v>47.9</v>
      </c>
      <c r="BO23" s="83">
        <v>45.1</v>
      </c>
      <c r="BP23" s="83">
        <v>45.8</v>
      </c>
      <c r="BQ23" s="83" t="s">
        <v>64</v>
      </c>
      <c r="BR23" s="90">
        <v>52.875175315568022</v>
      </c>
      <c r="BS23" s="90">
        <v>55.134281200631904</v>
      </c>
      <c r="BT23" s="90">
        <v>55.632062146892657</v>
      </c>
      <c r="BU23" s="83">
        <v>47.3</v>
      </c>
      <c r="BV23" s="83">
        <v>35.299999999999997</v>
      </c>
      <c r="BW23" s="83">
        <v>39.1</v>
      </c>
      <c r="BX23" s="83">
        <v>17.899999999999999</v>
      </c>
      <c r="BY23" s="83">
        <v>19.399999999999999</v>
      </c>
      <c r="BZ23" s="83">
        <v>19.2</v>
      </c>
    </row>
    <row r="24" spans="1:78" s="9" customFormat="1" x14ac:dyDescent="0.2">
      <c r="A24" s="9" t="s">
        <v>142</v>
      </c>
      <c r="B24" s="9" t="s">
        <v>66</v>
      </c>
      <c r="C24" s="9" t="s">
        <v>76</v>
      </c>
      <c r="D24" s="9" t="s">
        <v>87</v>
      </c>
      <c r="E24" s="9" t="s">
        <v>84</v>
      </c>
      <c r="F24" s="9">
        <v>397</v>
      </c>
      <c r="G24" s="52" t="s">
        <v>12</v>
      </c>
      <c r="H24" s="9">
        <v>343</v>
      </c>
      <c r="I24" s="52" t="s">
        <v>12</v>
      </c>
      <c r="J24" s="9">
        <v>312</v>
      </c>
      <c r="K24" s="52">
        <v>19</v>
      </c>
      <c r="L24" s="9">
        <v>288</v>
      </c>
      <c r="M24" s="9">
        <v>29</v>
      </c>
      <c r="N24" s="83">
        <v>98.855080000000001</v>
      </c>
      <c r="O24" s="83">
        <v>110.10901155555557</v>
      </c>
      <c r="P24" s="83">
        <v>111.21047699999998</v>
      </c>
      <c r="Q24" s="85">
        <v>52.4</v>
      </c>
      <c r="R24" s="85">
        <v>52.1</v>
      </c>
      <c r="S24" s="85">
        <v>57</v>
      </c>
      <c r="T24" s="85">
        <v>5.0999999999999996</v>
      </c>
      <c r="U24" s="85">
        <v>7.4</v>
      </c>
      <c r="V24" s="85">
        <v>6.7</v>
      </c>
      <c r="W24" s="85">
        <v>86.2</v>
      </c>
      <c r="X24" s="85">
        <v>88.6</v>
      </c>
      <c r="Y24" s="85">
        <v>84.1</v>
      </c>
      <c r="Z24" s="85">
        <v>22</v>
      </c>
      <c r="AA24" s="85">
        <v>22.5</v>
      </c>
      <c r="AB24" s="85">
        <v>22.6</v>
      </c>
      <c r="AC24" s="87">
        <v>1.83</v>
      </c>
      <c r="AD24" s="87">
        <v>2.0499999999999998</v>
      </c>
      <c r="AE24" s="87">
        <v>2.0699999999999998</v>
      </c>
      <c r="AF24" s="87">
        <v>23.9</v>
      </c>
      <c r="AG24" s="87">
        <v>21.35</v>
      </c>
      <c r="AH24" s="87">
        <v>21.65</v>
      </c>
      <c r="AI24" s="85">
        <v>98.5</v>
      </c>
      <c r="AJ24" s="85">
        <v>82.4</v>
      </c>
      <c r="AK24" s="85">
        <v>85.6</v>
      </c>
      <c r="AL24" s="85">
        <v>1.5</v>
      </c>
      <c r="AM24" s="85">
        <v>1.9</v>
      </c>
      <c r="AN24" s="85">
        <v>2.5</v>
      </c>
      <c r="AO24" s="85">
        <v>0</v>
      </c>
      <c r="AP24" s="85">
        <v>4.9000000000000004</v>
      </c>
      <c r="AQ24" s="85">
        <v>3.5</v>
      </c>
      <c r="AR24" s="51" t="s">
        <v>298</v>
      </c>
      <c r="AS24" s="51" t="s">
        <v>285</v>
      </c>
      <c r="AT24" s="51" t="s">
        <v>312</v>
      </c>
      <c r="AU24" s="51" t="s">
        <v>322</v>
      </c>
      <c r="AV24" s="51" t="s">
        <v>323</v>
      </c>
      <c r="AW24" s="51" t="s">
        <v>326</v>
      </c>
      <c r="AX24" s="83">
        <v>67.900000000000006</v>
      </c>
      <c r="AY24" s="51" t="s">
        <v>288</v>
      </c>
      <c r="AZ24" s="83">
        <v>69.2</v>
      </c>
      <c r="BA24" s="83">
        <v>68.099999999999994</v>
      </c>
      <c r="BB24" s="83" t="s">
        <v>12</v>
      </c>
      <c r="BC24" s="83">
        <v>63</v>
      </c>
      <c r="BD24" s="83">
        <v>59.2</v>
      </c>
      <c r="BE24" s="79"/>
      <c r="BF24" s="79"/>
      <c r="BG24" s="78"/>
      <c r="BH24" s="83">
        <v>68.599999999999994</v>
      </c>
      <c r="BI24" s="83">
        <v>66.7</v>
      </c>
      <c r="BJ24" s="83">
        <v>79.3</v>
      </c>
      <c r="BK24" s="83">
        <v>6.9</v>
      </c>
      <c r="BL24" s="83">
        <v>7.5</v>
      </c>
      <c r="BM24" s="52">
        <v>6.4</v>
      </c>
      <c r="BN24" s="83">
        <v>47.6</v>
      </c>
      <c r="BO24" s="83">
        <v>46.9</v>
      </c>
      <c r="BP24" s="83">
        <v>45.8</v>
      </c>
      <c r="BQ24" s="83" t="s">
        <v>66</v>
      </c>
      <c r="BR24" s="90">
        <v>53.956834532374096</v>
      </c>
      <c r="BS24" s="90">
        <v>56.262505002000793</v>
      </c>
      <c r="BT24" s="90">
        <v>55.632062146892657</v>
      </c>
      <c r="BU24" s="83">
        <v>52</v>
      </c>
      <c r="BV24" s="83">
        <v>45</v>
      </c>
      <c r="BW24" s="83">
        <v>39.1</v>
      </c>
      <c r="BX24" s="83">
        <v>18</v>
      </c>
      <c r="BY24" s="83">
        <v>18.8</v>
      </c>
      <c r="BZ24" s="83">
        <v>19.2</v>
      </c>
    </row>
    <row r="25" spans="1:78" s="9" customFormat="1" x14ac:dyDescent="0.2">
      <c r="A25" s="9" t="s">
        <v>143</v>
      </c>
      <c r="B25" s="9" t="s">
        <v>67</v>
      </c>
      <c r="C25" s="28" t="s">
        <v>18</v>
      </c>
      <c r="D25" s="9" t="s">
        <v>93</v>
      </c>
      <c r="E25" s="9" t="s">
        <v>82</v>
      </c>
      <c r="F25" s="9">
        <v>372</v>
      </c>
      <c r="G25" s="52" t="s">
        <v>12</v>
      </c>
      <c r="H25" s="9">
        <v>327</v>
      </c>
      <c r="I25" s="52" t="s">
        <v>12</v>
      </c>
      <c r="J25" s="9">
        <v>330</v>
      </c>
      <c r="K25" s="52" t="s">
        <v>12</v>
      </c>
      <c r="L25" s="9">
        <v>349</v>
      </c>
      <c r="M25" s="52" t="s">
        <v>12</v>
      </c>
      <c r="N25" s="83">
        <v>122.72311999999999</v>
      </c>
      <c r="O25" s="83">
        <v>112.62664685714286</v>
      </c>
      <c r="P25" s="83">
        <v>111.21047699999998</v>
      </c>
      <c r="Q25" s="85">
        <v>80.5</v>
      </c>
      <c r="R25" s="85">
        <v>61.4</v>
      </c>
      <c r="S25" s="85">
        <v>57</v>
      </c>
      <c r="T25" s="85">
        <v>1.6</v>
      </c>
      <c r="U25" s="85">
        <v>6.2</v>
      </c>
      <c r="V25" s="85">
        <v>6.7</v>
      </c>
      <c r="W25" s="85">
        <v>69.5</v>
      </c>
      <c r="X25" s="85">
        <v>80.400000000000006</v>
      </c>
      <c r="Y25" s="85">
        <v>84.1</v>
      </c>
      <c r="Z25" s="85">
        <v>14.9</v>
      </c>
      <c r="AA25" s="85">
        <v>22.6</v>
      </c>
      <c r="AB25" s="85">
        <v>22.6</v>
      </c>
      <c r="AC25" s="87">
        <v>2.64</v>
      </c>
      <c r="AD25" s="87">
        <v>2.09</v>
      </c>
      <c r="AE25" s="87">
        <v>2.0699999999999998</v>
      </c>
      <c r="AF25" s="87">
        <v>16.600000000000001</v>
      </c>
      <c r="AG25" s="87">
        <v>21.89</v>
      </c>
      <c r="AH25" s="87">
        <v>21.65</v>
      </c>
      <c r="AI25" s="85">
        <v>98.6</v>
      </c>
      <c r="AJ25" s="85">
        <v>88.3</v>
      </c>
      <c r="AK25" s="85">
        <v>85.6</v>
      </c>
      <c r="AL25" s="85">
        <v>1.4</v>
      </c>
      <c r="AM25" s="85">
        <v>2.9</v>
      </c>
      <c r="AN25" s="85">
        <v>2.5</v>
      </c>
      <c r="AO25" s="85">
        <v>0</v>
      </c>
      <c r="AP25" s="85">
        <v>2.2999999999999998</v>
      </c>
      <c r="AQ25" s="85">
        <v>3.5</v>
      </c>
      <c r="AR25" s="51" t="s">
        <v>302</v>
      </c>
      <c r="AS25" s="51" t="s">
        <v>309</v>
      </c>
      <c r="AT25" s="51" t="s">
        <v>319</v>
      </c>
      <c r="AU25" s="51" t="s">
        <v>284</v>
      </c>
      <c r="AV25" s="51" t="s">
        <v>264</v>
      </c>
      <c r="AW25" s="51" t="s">
        <v>286</v>
      </c>
      <c r="AX25" s="83">
        <v>63.3</v>
      </c>
      <c r="AY25" s="51" t="s">
        <v>293</v>
      </c>
      <c r="AZ25" s="83">
        <v>67.3</v>
      </c>
      <c r="BA25" s="83">
        <v>68.099999999999994</v>
      </c>
      <c r="BB25" s="83" t="s">
        <v>12</v>
      </c>
      <c r="BC25" s="83">
        <v>53.8</v>
      </c>
      <c r="BD25" s="83">
        <v>59.2</v>
      </c>
      <c r="BE25" s="77"/>
      <c r="BF25" s="77"/>
      <c r="BG25" s="78"/>
      <c r="BH25" s="83">
        <v>82.7</v>
      </c>
      <c r="BI25" s="83">
        <v>86.5</v>
      </c>
      <c r="BJ25" s="83">
        <v>79.3</v>
      </c>
      <c r="BK25" s="83">
        <v>3.5</v>
      </c>
      <c r="BL25" s="83">
        <v>5.8</v>
      </c>
      <c r="BM25" s="52">
        <v>6.4</v>
      </c>
      <c r="BN25" s="83">
        <v>44.4</v>
      </c>
      <c r="BO25" s="83">
        <v>45.1</v>
      </c>
      <c r="BP25" s="83">
        <v>45.8</v>
      </c>
      <c r="BQ25" s="83" t="s">
        <v>67</v>
      </c>
      <c r="BR25" s="90">
        <v>71.028037383177562</v>
      </c>
      <c r="BS25" s="90">
        <v>55.134281200631904</v>
      </c>
      <c r="BT25" s="90">
        <v>55.632062146892657</v>
      </c>
      <c r="BU25" s="83">
        <v>22.7</v>
      </c>
      <c r="BV25" s="83">
        <v>35.299999999999997</v>
      </c>
      <c r="BW25" s="83">
        <v>39.1</v>
      </c>
      <c r="BX25" s="83">
        <v>5.6</v>
      </c>
      <c r="BY25" s="83">
        <v>19.399999999999999</v>
      </c>
      <c r="BZ25" s="83">
        <v>19.2</v>
      </c>
    </row>
    <row r="26" spans="1:78" s="9" customFormat="1" x14ac:dyDescent="0.2">
      <c r="A26" s="26" t="s">
        <v>130</v>
      </c>
      <c r="B26" s="26" t="s">
        <v>35</v>
      </c>
      <c r="C26" s="35" t="s">
        <v>18</v>
      </c>
      <c r="D26" s="26" t="s">
        <v>29</v>
      </c>
      <c r="E26" s="26" t="s">
        <v>81</v>
      </c>
      <c r="F26" s="26">
        <v>520</v>
      </c>
      <c r="G26" s="54" t="s">
        <v>12</v>
      </c>
      <c r="H26" s="26">
        <v>457</v>
      </c>
      <c r="I26" s="54" t="s">
        <v>12</v>
      </c>
      <c r="J26" s="26">
        <v>435</v>
      </c>
      <c r="K26" s="54" t="s">
        <v>12</v>
      </c>
      <c r="L26" s="26">
        <v>441</v>
      </c>
      <c r="M26" s="54" t="s">
        <v>12</v>
      </c>
      <c r="N26" s="89">
        <v>99.060813999999993</v>
      </c>
      <c r="O26" s="89">
        <v>112.62664685714286</v>
      </c>
      <c r="P26" s="89">
        <v>111.21047699999998</v>
      </c>
      <c r="Q26" s="84">
        <v>50</v>
      </c>
      <c r="R26" s="84">
        <v>61.4</v>
      </c>
      <c r="S26" s="84">
        <v>57</v>
      </c>
      <c r="T26" s="84">
        <v>8.8000000000000007</v>
      </c>
      <c r="U26" s="84">
        <v>6.2</v>
      </c>
      <c r="V26" s="84">
        <v>6.7</v>
      </c>
      <c r="W26" s="84">
        <v>88.1</v>
      </c>
      <c r="X26" s="84">
        <v>80.400000000000006</v>
      </c>
      <c r="Y26" s="84">
        <v>84.1</v>
      </c>
      <c r="Z26" s="84">
        <v>23.7</v>
      </c>
      <c r="AA26" s="84">
        <v>22.6</v>
      </c>
      <c r="AB26" s="84">
        <v>22.6</v>
      </c>
      <c r="AC26" s="86">
        <v>2.09</v>
      </c>
      <c r="AD26" s="86">
        <v>2.09</v>
      </c>
      <c r="AE26" s="86">
        <v>2.0699999999999998</v>
      </c>
      <c r="AF26" s="86">
        <v>24.4</v>
      </c>
      <c r="AG26" s="86">
        <v>21.89</v>
      </c>
      <c r="AH26" s="86">
        <v>21.65</v>
      </c>
      <c r="AI26" s="84">
        <v>88.7</v>
      </c>
      <c r="AJ26" s="84">
        <v>88.3</v>
      </c>
      <c r="AK26" s="84">
        <v>85.6</v>
      </c>
      <c r="AL26" s="84">
        <v>2.4</v>
      </c>
      <c r="AM26" s="84">
        <v>2.9</v>
      </c>
      <c r="AN26" s="84">
        <v>2.5</v>
      </c>
      <c r="AO26" s="84">
        <v>0.8</v>
      </c>
      <c r="AP26" s="84">
        <v>2.2999999999999998</v>
      </c>
      <c r="AQ26" s="84">
        <v>3.5</v>
      </c>
      <c r="AR26" s="92" t="s">
        <v>300</v>
      </c>
      <c r="AS26" s="92" t="s">
        <v>255</v>
      </c>
      <c r="AT26" s="92" t="s">
        <v>314</v>
      </c>
      <c r="AU26" s="92" t="s">
        <v>324</v>
      </c>
      <c r="AV26" s="92" t="s">
        <v>299</v>
      </c>
      <c r="AW26" s="92" t="s">
        <v>326</v>
      </c>
      <c r="AX26" s="89">
        <v>63.2</v>
      </c>
      <c r="AY26" s="92" t="s">
        <v>289</v>
      </c>
      <c r="AZ26" s="89">
        <v>67.3</v>
      </c>
      <c r="BA26" s="89">
        <v>68.099999999999994</v>
      </c>
      <c r="BB26" s="89" t="s">
        <v>12</v>
      </c>
      <c r="BC26" s="89">
        <v>53.8</v>
      </c>
      <c r="BD26" s="89">
        <v>59.2</v>
      </c>
      <c r="BE26" s="80"/>
      <c r="BF26" s="80"/>
      <c r="BG26" s="81"/>
      <c r="BH26" s="89">
        <v>87.5</v>
      </c>
      <c r="BI26" s="89">
        <v>86.5</v>
      </c>
      <c r="BJ26" s="89">
        <v>79.3</v>
      </c>
      <c r="BK26" s="89">
        <v>6.6</v>
      </c>
      <c r="BL26" s="89">
        <v>5.8</v>
      </c>
      <c r="BM26" s="54">
        <v>6.4</v>
      </c>
      <c r="BN26" s="54">
        <v>44.1</v>
      </c>
      <c r="BO26" s="54">
        <v>45.1</v>
      </c>
      <c r="BP26" s="89">
        <v>45.8</v>
      </c>
      <c r="BQ26" s="89" t="s">
        <v>35</v>
      </c>
      <c r="BR26" s="104">
        <v>49.773755656108598</v>
      </c>
      <c r="BS26" s="104">
        <v>55.134281200631904</v>
      </c>
      <c r="BT26" s="104">
        <v>55.632062146892657</v>
      </c>
      <c r="BU26" s="89">
        <v>32.1</v>
      </c>
      <c r="BV26" s="89">
        <v>35.299999999999997</v>
      </c>
      <c r="BW26" s="89">
        <v>39.1</v>
      </c>
      <c r="BX26" s="89">
        <v>36.4</v>
      </c>
      <c r="BY26" s="89">
        <v>19.399999999999999</v>
      </c>
      <c r="BZ26" s="89">
        <v>19.2</v>
      </c>
    </row>
    <row r="27" spans="1:78" s="9" customFormat="1" x14ac:dyDescent="0.2">
      <c r="A27" s="26" t="s">
        <v>141</v>
      </c>
      <c r="B27" s="26" t="s">
        <v>65</v>
      </c>
      <c r="C27" s="26" t="s">
        <v>76</v>
      </c>
      <c r="D27" s="26" t="s">
        <v>29</v>
      </c>
      <c r="E27" s="26" t="s">
        <v>85</v>
      </c>
      <c r="F27" s="26">
        <v>217</v>
      </c>
      <c r="G27" s="54" t="s">
        <v>12</v>
      </c>
      <c r="H27" s="26">
        <v>260</v>
      </c>
      <c r="I27" s="54" t="s">
        <v>12</v>
      </c>
      <c r="J27" s="26">
        <v>267</v>
      </c>
      <c r="K27" s="54" t="s">
        <v>12</v>
      </c>
      <c r="L27" s="26">
        <v>261</v>
      </c>
      <c r="M27" s="54"/>
      <c r="N27" s="89">
        <v>100.02589</v>
      </c>
      <c r="O27" s="89">
        <v>110.10901155555557</v>
      </c>
      <c r="P27" s="89">
        <v>111.21047699999998</v>
      </c>
      <c r="Q27" s="84">
        <v>46.9</v>
      </c>
      <c r="R27" s="84">
        <v>52.1</v>
      </c>
      <c r="S27" s="84">
        <v>57</v>
      </c>
      <c r="T27" s="84">
        <v>10.199999999999999</v>
      </c>
      <c r="U27" s="84">
        <v>7.4</v>
      </c>
      <c r="V27" s="84">
        <v>6.7</v>
      </c>
      <c r="W27" s="84">
        <v>90.8</v>
      </c>
      <c r="X27" s="84">
        <v>88.6</v>
      </c>
      <c r="Y27" s="84">
        <v>84.1</v>
      </c>
      <c r="Z27" s="84">
        <v>27.3</v>
      </c>
      <c r="AA27" s="84">
        <v>22.5</v>
      </c>
      <c r="AB27" s="84">
        <v>22.6</v>
      </c>
      <c r="AC27" s="86">
        <v>1.64</v>
      </c>
      <c r="AD27" s="86">
        <v>2.0499999999999998</v>
      </c>
      <c r="AE27" s="86">
        <v>2.0699999999999998</v>
      </c>
      <c r="AF27" s="86">
        <v>28.11</v>
      </c>
      <c r="AG27" s="86">
        <v>21.35</v>
      </c>
      <c r="AH27" s="86">
        <v>21.65</v>
      </c>
      <c r="AI27" s="84">
        <v>79.3</v>
      </c>
      <c r="AJ27" s="84">
        <v>82.4</v>
      </c>
      <c r="AK27" s="84">
        <v>85.6</v>
      </c>
      <c r="AL27" s="84">
        <v>3.4</v>
      </c>
      <c r="AM27" s="84">
        <v>1.9</v>
      </c>
      <c r="AN27" s="84">
        <v>2.5</v>
      </c>
      <c r="AO27" s="84">
        <v>16.100000000000001</v>
      </c>
      <c r="AP27" s="84">
        <v>4.9000000000000004</v>
      </c>
      <c r="AQ27" s="84">
        <v>3.5</v>
      </c>
      <c r="AR27" s="92" t="s">
        <v>303</v>
      </c>
      <c r="AS27" s="92" t="s">
        <v>254</v>
      </c>
      <c r="AT27" s="92" t="s">
        <v>247</v>
      </c>
      <c r="AU27" s="92" t="s">
        <v>256</v>
      </c>
      <c r="AV27" s="92" t="s">
        <v>262</v>
      </c>
      <c r="AW27" s="92" t="s">
        <v>274</v>
      </c>
      <c r="AX27" s="89">
        <v>61.6</v>
      </c>
      <c r="AY27" s="92" t="s">
        <v>274</v>
      </c>
      <c r="AZ27" s="89">
        <v>69.2</v>
      </c>
      <c r="BA27" s="89">
        <v>68.099999999999994</v>
      </c>
      <c r="BB27" s="89" t="s">
        <v>12</v>
      </c>
      <c r="BC27" s="89">
        <v>63</v>
      </c>
      <c r="BD27" s="89">
        <v>59.2</v>
      </c>
      <c r="BE27" s="82"/>
      <c r="BF27" s="82"/>
      <c r="BG27" s="81"/>
      <c r="BH27" s="89">
        <v>70.3</v>
      </c>
      <c r="BI27" s="89">
        <v>66.7</v>
      </c>
      <c r="BJ27" s="89">
        <v>79.3</v>
      </c>
      <c r="BK27" s="89">
        <v>8.4</v>
      </c>
      <c r="BL27" s="89">
        <v>7.5</v>
      </c>
      <c r="BM27" s="54">
        <v>6.4</v>
      </c>
      <c r="BN27" s="54">
        <v>49.3</v>
      </c>
      <c r="BO27" s="54">
        <v>46.9</v>
      </c>
      <c r="BP27" s="89">
        <v>45.8</v>
      </c>
      <c r="BQ27" s="89" t="s">
        <v>65</v>
      </c>
      <c r="BR27" s="104">
        <v>43.145161290322584</v>
      </c>
      <c r="BS27" s="104">
        <v>56.262505002000793</v>
      </c>
      <c r="BT27" s="104">
        <v>55.632062146892657</v>
      </c>
      <c r="BU27" s="89">
        <v>44.7</v>
      </c>
      <c r="BV27" s="89">
        <v>45</v>
      </c>
      <c r="BW27" s="89">
        <v>39.1</v>
      </c>
      <c r="BX27" s="89">
        <v>12.6</v>
      </c>
      <c r="BY27" s="89">
        <v>18.8</v>
      </c>
      <c r="BZ27" s="89">
        <v>19.2</v>
      </c>
    </row>
    <row r="28" spans="1:78" s="9" customFormat="1" x14ac:dyDescent="0.2">
      <c r="A28" s="26" t="s">
        <v>144</v>
      </c>
      <c r="B28" s="26" t="s">
        <v>68</v>
      </c>
      <c r="C28" s="35" t="s">
        <v>18</v>
      </c>
      <c r="D28" s="26" t="s">
        <v>92</v>
      </c>
      <c r="E28" s="26" t="s">
        <v>81</v>
      </c>
      <c r="F28" s="26">
        <v>174</v>
      </c>
      <c r="G28" s="54" t="s">
        <v>12</v>
      </c>
      <c r="H28" s="26">
        <v>205</v>
      </c>
      <c r="I28" s="54" t="s">
        <v>12</v>
      </c>
      <c r="J28" s="26">
        <v>203</v>
      </c>
      <c r="K28" s="54" t="s">
        <v>12</v>
      </c>
      <c r="L28" s="26">
        <v>192</v>
      </c>
      <c r="M28" s="54" t="s">
        <v>12</v>
      </c>
      <c r="N28" s="89">
        <v>125.56468</v>
      </c>
      <c r="O28" s="89">
        <v>112.62664685714286</v>
      </c>
      <c r="P28" s="89">
        <v>111.21047699999998</v>
      </c>
      <c r="Q28" s="84">
        <v>64.7</v>
      </c>
      <c r="R28" s="84">
        <v>61.4</v>
      </c>
      <c r="S28" s="84">
        <v>57</v>
      </c>
      <c r="T28" s="84">
        <v>5.4</v>
      </c>
      <c r="U28" s="84">
        <v>6.2</v>
      </c>
      <c r="V28" s="84">
        <v>6.7</v>
      </c>
      <c r="W28" s="84">
        <v>73.7</v>
      </c>
      <c r="X28" s="84">
        <v>80.400000000000006</v>
      </c>
      <c r="Y28" s="84">
        <v>84.1</v>
      </c>
      <c r="Z28" s="84">
        <v>42.9</v>
      </c>
      <c r="AA28" s="84">
        <v>22.6</v>
      </c>
      <c r="AB28" s="84">
        <v>22.6</v>
      </c>
      <c r="AC28" s="86">
        <v>2.27</v>
      </c>
      <c r="AD28" s="86">
        <v>2.09</v>
      </c>
      <c r="AE28" s="86">
        <v>2.0699999999999998</v>
      </c>
      <c r="AF28" s="86">
        <v>17.63</v>
      </c>
      <c r="AG28" s="86">
        <v>21.89</v>
      </c>
      <c r="AH28" s="86">
        <v>21.65</v>
      </c>
      <c r="AI28" s="84">
        <v>64.599999999999994</v>
      </c>
      <c r="AJ28" s="84">
        <v>88.3</v>
      </c>
      <c r="AK28" s="84">
        <v>85.6</v>
      </c>
      <c r="AL28" s="84">
        <v>12.5</v>
      </c>
      <c r="AM28" s="84">
        <v>2.9</v>
      </c>
      <c r="AN28" s="84">
        <v>2.5</v>
      </c>
      <c r="AO28" s="84">
        <v>6.3</v>
      </c>
      <c r="AP28" s="84">
        <v>2.2999999999999998</v>
      </c>
      <c r="AQ28" s="84">
        <v>3.5</v>
      </c>
      <c r="AR28" s="92" t="s">
        <v>306</v>
      </c>
      <c r="AS28" s="92" t="s">
        <v>270</v>
      </c>
      <c r="AT28" s="92" t="s">
        <v>278</v>
      </c>
      <c r="AU28" s="92" t="s">
        <v>325</v>
      </c>
      <c r="AV28" s="92" t="s">
        <v>279</v>
      </c>
      <c r="AW28" s="92" t="s">
        <v>327</v>
      </c>
      <c r="AX28" s="89">
        <v>79.099999999999994</v>
      </c>
      <c r="AY28" s="92" t="s">
        <v>294</v>
      </c>
      <c r="AZ28" s="89">
        <v>67.3</v>
      </c>
      <c r="BA28" s="89">
        <v>68.099999999999994</v>
      </c>
      <c r="BB28" s="89" t="s">
        <v>12</v>
      </c>
      <c r="BC28" s="89">
        <v>53.8</v>
      </c>
      <c r="BD28" s="89">
        <v>59.2</v>
      </c>
      <c r="BE28" s="80"/>
      <c r="BF28" s="80"/>
      <c r="BG28" s="81"/>
      <c r="BH28" s="89">
        <v>68.8</v>
      </c>
      <c r="BI28" s="89">
        <v>86.5</v>
      </c>
      <c r="BJ28" s="89">
        <v>79.3</v>
      </c>
      <c r="BK28" s="89">
        <v>2.5</v>
      </c>
      <c r="BL28" s="89">
        <v>5.8</v>
      </c>
      <c r="BM28" s="54">
        <v>6.4</v>
      </c>
      <c r="BN28" s="54">
        <v>44.3</v>
      </c>
      <c r="BO28" s="54">
        <v>45.1</v>
      </c>
      <c r="BP28" s="89">
        <v>45.8</v>
      </c>
      <c r="BQ28" s="89" t="s">
        <v>68</v>
      </c>
      <c r="BR28" s="104">
        <v>64.467005076142129</v>
      </c>
      <c r="BS28" s="104">
        <v>55.134281200631904</v>
      </c>
      <c r="BT28" s="104">
        <v>55.632062146892657</v>
      </c>
      <c r="BU28" s="89">
        <v>24.4</v>
      </c>
      <c r="BV28" s="89">
        <v>35.299999999999997</v>
      </c>
      <c r="BW28" s="89">
        <v>39.1</v>
      </c>
      <c r="BX28" s="89">
        <v>4.4000000000000004</v>
      </c>
      <c r="BY28" s="89">
        <v>19.399999999999999</v>
      </c>
      <c r="BZ28" s="89">
        <v>19.2</v>
      </c>
    </row>
    <row r="29" spans="1:78" s="9" customFormat="1" x14ac:dyDescent="0.2">
      <c r="A29" s="26" t="s">
        <v>214</v>
      </c>
      <c r="B29" s="26" t="s">
        <v>74</v>
      </c>
      <c r="C29" s="35" t="s">
        <v>18</v>
      </c>
      <c r="D29" s="26" t="s">
        <v>95</v>
      </c>
      <c r="E29" s="26" t="s">
        <v>81</v>
      </c>
      <c r="F29" s="54" t="s">
        <v>12</v>
      </c>
      <c r="G29" s="54" t="s">
        <v>12</v>
      </c>
      <c r="H29" s="26">
        <v>181</v>
      </c>
      <c r="I29" s="54" t="s">
        <v>12</v>
      </c>
      <c r="J29" s="26">
        <v>191</v>
      </c>
      <c r="K29" s="54" t="s">
        <v>12</v>
      </c>
      <c r="L29" s="26">
        <v>186</v>
      </c>
      <c r="M29" s="54" t="s">
        <v>12</v>
      </c>
      <c r="N29" s="89">
        <v>117.60494</v>
      </c>
      <c r="O29" s="89">
        <v>112.62664685714286</v>
      </c>
      <c r="P29" s="89">
        <v>111.21047699999998</v>
      </c>
      <c r="Q29" s="84">
        <v>70.599999999999994</v>
      </c>
      <c r="R29" s="84">
        <v>61.4</v>
      </c>
      <c r="S29" s="84">
        <v>57</v>
      </c>
      <c r="T29" s="84">
        <v>6.7</v>
      </c>
      <c r="U29" s="84">
        <v>6.2</v>
      </c>
      <c r="V29" s="84">
        <v>6.7</v>
      </c>
      <c r="W29" s="84">
        <v>77.400000000000006</v>
      </c>
      <c r="X29" s="84">
        <v>80.400000000000006</v>
      </c>
      <c r="Y29" s="84">
        <v>84.1</v>
      </c>
      <c r="Z29" s="84">
        <v>12.5</v>
      </c>
      <c r="AA29" s="84">
        <v>22.6</v>
      </c>
      <c r="AB29" s="84">
        <v>22.6</v>
      </c>
      <c r="AC29" s="86">
        <v>1.99</v>
      </c>
      <c r="AD29" s="86">
        <v>2.09</v>
      </c>
      <c r="AE29" s="86">
        <v>2.0699999999999998</v>
      </c>
      <c r="AF29" s="86">
        <v>14.78</v>
      </c>
      <c r="AG29" s="86">
        <v>21.89</v>
      </c>
      <c r="AH29" s="86">
        <v>21.65</v>
      </c>
      <c r="AI29" s="84">
        <v>88.6</v>
      </c>
      <c r="AJ29" s="84">
        <v>88.3</v>
      </c>
      <c r="AK29" s="84">
        <v>85.6</v>
      </c>
      <c r="AL29" s="84">
        <v>2.2999999999999998</v>
      </c>
      <c r="AM29" s="84">
        <v>2.9</v>
      </c>
      <c r="AN29" s="84">
        <v>2.5</v>
      </c>
      <c r="AO29" s="84">
        <v>4.5</v>
      </c>
      <c r="AP29" s="84">
        <v>2.2999999999999998</v>
      </c>
      <c r="AQ29" s="84">
        <v>3.5</v>
      </c>
      <c r="AR29" s="92" t="s">
        <v>306</v>
      </c>
      <c r="AS29" s="92" t="s">
        <v>256</v>
      </c>
      <c r="AT29" s="92" t="s">
        <v>249</v>
      </c>
      <c r="AU29" s="92" t="s">
        <v>269</v>
      </c>
      <c r="AV29" s="92" t="s">
        <v>246</v>
      </c>
      <c r="AW29" s="92" t="s">
        <v>283</v>
      </c>
      <c r="AX29" s="89">
        <v>76.7</v>
      </c>
      <c r="AY29" s="92" t="s">
        <v>283</v>
      </c>
      <c r="AZ29" s="89">
        <v>67.3</v>
      </c>
      <c r="BA29" s="89">
        <v>68.099999999999994</v>
      </c>
      <c r="BB29" s="89" t="s">
        <v>12</v>
      </c>
      <c r="BC29" s="89">
        <v>53.8</v>
      </c>
      <c r="BD29" s="89">
        <v>59.2</v>
      </c>
      <c r="BE29" s="80"/>
      <c r="BF29" s="80"/>
      <c r="BG29" s="81"/>
      <c r="BH29" s="89">
        <v>82.9</v>
      </c>
      <c r="BI29" s="89">
        <v>86.5</v>
      </c>
      <c r="BJ29" s="89">
        <v>79.3</v>
      </c>
      <c r="BK29" s="89">
        <v>2.5</v>
      </c>
      <c r="BL29" s="89">
        <v>5.8</v>
      </c>
      <c r="BM29" s="54">
        <v>6.4</v>
      </c>
      <c r="BN29" s="54">
        <v>41.9</v>
      </c>
      <c r="BO29" s="54">
        <v>45.1</v>
      </c>
      <c r="BP29" s="89">
        <v>45.8</v>
      </c>
      <c r="BQ29" s="89" t="s">
        <v>74</v>
      </c>
      <c r="BR29" s="104">
        <v>49.870801033591732</v>
      </c>
      <c r="BS29" s="104">
        <v>55.134281200631904</v>
      </c>
      <c r="BT29" s="104">
        <v>55.632062146892657</v>
      </c>
      <c r="BU29" s="89">
        <v>27.1</v>
      </c>
      <c r="BV29" s="89">
        <v>35.299999999999997</v>
      </c>
      <c r="BW29" s="89">
        <v>39.1</v>
      </c>
      <c r="BX29" s="89">
        <v>14</v>
      </c>
      <c r="BY29" s="89">
        <v>19.399999999999999</v>
      </c>
      <c r="BZ29" s="89">
        <v>19.2</v>
      </c>
    </row>
    <row r="30" spans="1:78" s="9" customFormat="1" x14ac:dyDescent="0.2">
      <c r="A30" s="26" t="s">
        <v>148</v>
      </c>
      <c r="B30" s="26" t="s">
        <v>75</v>
      </c>
      <c r="C30" s="35" t="s">
        <v>18</v>
      </c>
      <c r="D30" s="26" t="s">
        <v>87</v>
      </c>
      <c r="E30" s="26" t="s">
        <v>81</v>
      </c>
      <c r="F30" s="54" t="s">
        <v>12</v>
      </c>
      <c r="G30" s="54" t="s">
        <v>12</v>
      </c>
      <c r="H30" s="26">
        <v>179</v>
      </c>
      <c r="I30" s="54" t="s">
        <v>12</v>
      </c>
      <c r="J30" s="26">
        <v>184</v>
      </c>
      <c r="K30" s="54" t="s">
        <v>12</v>
      </c>
      <c r="L30" s="26">
        <v>191</v>
      </c>
      <c r="M30" s="54" t="s">
        <v>12</v>
      </c>
      <c r="N30" s="89">
        <v>98.010570000000001</v>
      </c>
      <c r="O30" s="89">
        <v>112.62664685714286</v>
      </c>
      <c r="P30" s="89">
        <v>111.21047699999998</v>
      </c>
      <c r="Q30" s="84">
        <v>60.7</v>
      </c>
      <c r="R30" s="84">
        <v>61.4</v>
      </c>
      <c r="S30" s="84">
        <v>57</v>
      </c>
      <c r="T30" s="84">
        <v>10.7</v>
      </c>
      <c r="U30" s="84">
        <v>6.2</v>
      </c>
      <c r="V30" s="84">
        <v>6.7</v>
      </c>
      <c r="W30" s="84">
        <v>85.6</v>
      </c>
      <c r="X30" s="84">
        <v>80.400000000000006</v>
      </c>
      <c r="Y30" s="84">
        <v>84.1</v>
      </c>
      <c r="Z30" s="84">
        <v>26.4</v>
      </c>
      <c r="AA30" s="84">
        <v>22.6</v>
      </c>
      <c r="AB30" s="84">
        <v>22.6</v>
      </c>
      <c r="AC30" s="86">
        <v>2</v>
      </c>
      <c r="AD30" s="86">
        <v>2.09</v>
      </c>
      <c r="AE30" s="86">
        <v>2.0699999999999998</v>
      </c>
      <c r="AF30" s="86">
        <v>27.5</v>
      </c>
      <c r="AG30" s="86">
        <v>21.89</v>
      </c>
      <c r="AH30" s="86">
        <v>21.65</v>
      </c>
      <c r="AI30" s="88">
        <v>84.7</v>
      </c>
      <c r="AJ30" s="88">
        <v>88.3</v>
      </c>
      <c r="AK30" s="88">
        <v>85.6</v>
      </c>
      <c r="AL30" s="88">
        <v>0</v>
      </c>
      <c r="AM30" s="88">
        <v>2.9</v>
      </c>
      <c r="AN30" s="88">
        <v>2.5</v>
      </c>
      <c r="AO30" s="88">
        <v>1.7</v>
      </c>
      <c r="AP30" s="88">
        <v>2.2999999999999998</v>
      </c>
      <c r="AQ30" s="88">
        <v>3.5</v>
      </c>
      <c r="AR30" s="92" t="s">
        <v>299</v>
      </c>
      <c r="AS30" s="92" t="s">
        <v>256</v>
      </c>
      <c r="AT30" s="92" t="s">
        <v>313</v>
      </c>
      <c r="AU30" s="92" t="s">
        <v>286</v>
      </c>
      <c r="AV30" s="92" t="s">
        <v>261</v>
      </c>
      <c r="AW30" s="92" t="s">
        <v>254</v>
      </c>
      <c r="AX30" s="89">
        <v>77.599999999999994</v>
      </c>
      <c r="AY30" s="92" t="s">
        <v>271</v>
      </c>
      <c r="AZ30" s="89">
        <v>67.3</v>
      </c>
      <c r="BA30" s="89">
        <v>68.099999999999994</v>
      </c>
      <c r="BB30" s="89" t="s">
        <v>12</v>
      </c>
      <c r="BC30" s="89">
        <v>53.8</v>
      </c>
      <c r="BD30" s="89">
        <v>59.2</v>
      </c>
      <c r="BE30" s="80"/>
      <c r="BF30" s="80"/>
      <c r="BG30" s="81"/>
      <c r="BH30" s="89">
        <v>89.7</v>
      </c>
      <c r="BI30" s="89">
        <v>86.5</v>
      </c>
      <c r="BJ30" s="89">
        <v>79.3</v>
      </c>
      <c r="BK30" s="89">
        <v>3.2</v>
      </c>
      <c r="BL30" s="89">
        <v>5.8</v>
      </c>
      <c r="BM30" s="54">
        <v>6.4</v>
      </c>
      <c r="BN30" s="54">
        <v>42</v>
      </c>
      <c r="BO30" s="54">
        <v>45.1</v>
      </c>
      <c r="BP30" s="89">
        <v>45.8</v>
      </c>
      <c r="BQ30" s="89" t="s">
        <v>75</v>
      </c>
      <c r="BR30" s="104">
        <v>42.473118279569896</v>
      </c>
      <c r="BS30" s="104">
        <v>55.134281200631904</v>
      </c>
      <c r="BT30" s="104">
        <v>55.632062146892657</v>
      </c>
      <c r="BU30" s="89">
        <v>37.5</v>
      </c>
      <c r="BV30" s="89">
        <v>35.299999999999997</v>
      </c>
      <c r="BW30" s="89">
        <v>39.1</v>
      </c>
      <c r="BX30" s="89">
        <v>34.9</v>
      </c>
      <c r="BY30" s="89">
        <v>19.399999999999999</v>
      </c>
      <c r="BZ30" s="89">
        <v>19.2</v>
      </c>
    </row>
    <row r="31" spans="1:78" x14ac:dyDescent="0.2">
      <c r="AT31" s="61"/>
      <c r="AU31" s="61"/>
      <c r="AV31" s="61"/>
      <c r="AW31" s="61"/>
      <c r="AZ31" s="72"/>
      <c r="BA31" s="72"/>
    </row>
    <row r="32" spans="1:78" x14ac:dyDescent="0.2">
      <c r="AT32" s="61"/>
      <c r="AU32" s="61"/>
      <c r="AV32" s="61"/>
      <c r="AW32" s="61"/>
    </row>
    <row r="33" spans="1:69" x14ac:dyDescent="0.2">
      <c r="AT33" s="61"/>
      <c r="AU33" s="61"/>
      <c r="AV33" s="61"/>
      <c r="AW33" s="61"/>
    </row>
    <row r="34" spans="1:69" x14ac:dyDescent="0.2">
      <c r="AT34" s="61"/>
      <c r="AU34" s="61"/>
      <c r="AV34" s="61"/>
      <c r="AW34" s="61"/>
    </row>
    <row r="35" spans="1:69" s="93" customFormat="1" ht="51" x14ac:dyDescent="0.2">
      <c r="A35" s="42"/>
      <c r="B35" s="42"/>
      <c r="C35" s="42"/>
      <c r="D35" s="42"/>
      <c r="E35" s="42"/>
      <c r="F35" s="42" t="s">
        <v>208</v>
      </c>
      <c r="G35" s="42" t="s">
        <v>206</v>
      </c>
      <c r="H35" s="42" t="s">
        <v>53</v>
      </c>
      <c r="I35" s="42" t="s">
        <v>32</v>
      </c>
      <c r="J35" s="42" t="s">
        <v>34</v>
      </c>
      <c r="K35" s="42" t="s">
        <v>54</v>
      </c>
      <c r="L35" s="42" t="s">
        <v>55</v>
      </c>
      <c r="M35" s="42" t="s">
        <v>179</v>
      </c>
      <c r="N35" s="42" t="s">
        <v>33</v>
      </c>
      <c r="AT35" s="94"/>
      <c r="AU35" s="94"/>
      <c r="AV35" s="94"/>
      <c r="AW35" s="94"/>
    </row>
    <row r="36" spans="1:69" s="95" customFormat="1" x14ac:dyDescent="0.2">
      <c r="A36" s="1" t="s">
        <v>129</v>
      </c>
      <c r="B36" s="1" t="s">
        <v>69</v>
      </c>
      <c r="C36" s="1"/>
      <c r="D36" s="1"/>
      <c r="E36" s="1"/>
      <c r="F36" s="44">
        <v>3.0699898851123679</v>
      </c>
      <c r="G36" s="44">
        <v>5</v>
      </c>
      <c r="H36" s="44">
        <v>-0.25316455696202556</v>
      </c>
      <c r="I36" s="44">
        <v>-2.1874999999999987</v>
      </c>
      <c r="J36" s="44">
        <v>-2.1209386281588465</v>
      </c>
      <c r="K36" s="44">
        <v>4.5</v>
      </c>
      <c r="L36" s="44">
        <v>1.0303030303030301</v>
      </c>
      <c r="M36" s="44">
        <v>1.7592592592592584</v>
      </c>
      <c r="N36" s="44"/>
      <c r="O36" s="96"/>
      <c r="P36" s="96"/>
      <c r="Q36" s="96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H36" s="97"/>
      <c r="AI36" s="97"/>
      <c r="AJ36" s="97"/>
      <c r="AK36" s="97"/>
      <c r="AL36" s="97"/>
      <c r="AM36" s="97"/>
      <c r="AN36" s="97"/>
      <c r="AO36" s="97"/>
      <c r="AR36" s="97"/>
      <c r="AS36" s="97"/>
      <c r="AT36" s="98"/>
      <c r="AU36" s="98"/>
      <c r="AV36" s="98"/>
      <c r="AW36" s="98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</row>
    <row r="37" spans="1:69" s="95" customFormat="1" x14ac:dyDescent="0.2">
      <c r="A37" s="1" t="s">
        <v>130</v>
      </c>
      <c r="B37" s="1" t="s">
        <v>35</v>
      </c>
      <c r="C37" s="1"/>
      <c r="D37" s="1"/>
      <c r="E37" s="1"/>
      <c r="F37" s="44">
        <v>2.2698397932314265</v>
      </c>
      <c r="G37" s="44">
        <v>-3.4844192634560889</v>
      </c>
      <c r="H37" s="44">
        <v>-0.69620253164556933</v>
      </c>
      <c r="I37" s="44">
        <v>2.9687499999999996</v>
      </c>
      <c r="J37" s="44">
        <v>1.3357400722021666</v>
      </c>
      <c r="K37" s="44">
        <v>-3.1693989071038318</v>
      </c>
      <c r="L37" s="44">
        <v>-1.0909090909090908</v>
      </c>
      <c r="M37" s="44">
        <v>-3.9</v>
      </c>
      <c r="N37" s="44"/>
      <c r="O37" s="96"/>
      <c r="P37" s="96"/>
      <c r="Q37" s="96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H37" s="97"/>
      <c r="AI37" s="97"/>
      <c r="AJ37" s="97"/>
      <c r="AK37" s="97"/>
      <c r="AL37" s="97"/>
      <c r="AM37" s="97"/>
      <c r="AN37" s="97"/>
      <c r="AO37" s="97"/>
      <c r="AR37" s="97"/>
      <c r="AS37" s="97"/>
      <c r="AT37" s="98"/>
      <c r="AU37" s="98"/>
      <c r="AV37" s="98"/>
      <c r="AW37" s="98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</row>
    <row r="38" spans="1:69" s="95" customFormat="1" x14ac:dyDescent="0.2">
      <c r="A38" s="1" t="s">
        <v>132</v>
      </c>
      <c r="B38" s="1" t="s">
        <v>70</v>
      </c>
      <c r="C38" s="1"/>
      <c r="D38" s="1"/>
      <c r="E38" s="1"/>
      <c r="F38" s="44">
        <v>2.4590423415999583</v>
      </c>
      <c r="G38" s="44">
        <v>4.1926345609065132</v>
      </c>
      <c r="H38" s="44">
        <v>1.7721518987341771</v>
      </c>
      <c r="I38" s="44">
        <v>-2.9687499999999996</v>
      </c>
      <c r="J38" s="44">
        <v>-5</v>
      </c>
      <c r="K38" s="44">
        <v>2.1</v>
      </c>
      <c r="L38" s="44">
        <v>-1.8181818181818181</v>
      </c>
      <c r="M38" s="44">
        <v>5</v>
      </c>
      <c r="N38" s="44"/>
      <c r="O38" s="96"/>
      <c r="P38" s="96"/>
      <c r="Q38" s="96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H38" s="97"/>
      <c r="AI38" s="97"/>
      <c r="AJ38" s="97"/>
      <c r="AK38" s="97"/>
      <c r="AL38" s="97"/>
      <c r="AM38" s="97"/>
      <c r="AN38" s="97"/>
      <c r="AO38" s="97"/>
      <c r="AR38" s="97"/>
      <c r="AS38" s="97"/>
      <c r="AT38" s="98"/>
      <c r="AU38" s="98"/>
      <c r="AV38" s="98"/>
      <c r="AW38" s="98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</row>
    <row r="39" spans="1:69" s="95" customFormat="1" x14ac:dyDescent="0.2">
      <c r="A39" s="1" t="s">
        <v>141</v>
      </c>
      <c r="B39" s="1" t="s">
        <v>65</v>
      </c>
      <c r="C39" s="1"/>
      <c r="D39" s="1"/>
      <c r="E39" s="1"/>
      <c r="F39" s="44">
        <v>1.9348488771919323</v>
      </c>
      <c r="G39" s="44">
        <v>-4.3342776203965983</v>
      </c>
      <c r="H39" s="44">
        <v>-5</v>
      </c>
      <c r="I39" s="44">
        <v>2.9687499999999996</v>
      </c>
      <c r="J39" s="44">
        <v>0.63176895306859149</v>
      </c>
      <c r="K39" s="44">
        <v>-5</v>
      </c>
      <c r="L39" s="44">
        <v>-5</v>
      </c>
      <c r="M39" s="44">
        <v>-5</v>
      </c>
      <c r="N39" s="44"/>
      <c r="O39" s="99"/>
      <c r="P39" s="96"/>
      <c r="Q39" s="96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H39" s="97"/>
      <c r="AI39" s="97"/>
      <c r="AJ39" s="97"/>
      <c r="AK39" s="97"/>
      <c r="AL39" s="97"/>
      <c r="AM39" s="97"/>
      <c r="AN39" s="97"/>
      <c r="AO39" s="97"/>
      <c r="AR39" s="97"/>
      <c r="AS39" s="97"/>
      <c r="AT39" s="98"/>
      <c r="AU39" s="98"/>
      <c r="AV39" s="98"/>
      <c r="AW39" s="98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</row>
    <row r="40" spans="1:69" s="95" customFormat="1" x14ac:dyDescent="0.2">
      <c r="A40" s="1" t="s">
        <v>144</v>
      </c>
      <c r="B40" s="1" t="s">
        <v>68</v>
      </c>
      <c r="C40" s="1"/>
      <c r="D40" s="1"/>
      <c r="E40" s="1"/>
      <c r="F40" s="44">
        <v>-5</v>
      </c>
      <c r="G40" s="44">
        <v>-4.1359773371104787</v>
      </c>
      <c r="H40" s="44">
        <v>-0.94936708860759489</v>
      </c>
      <c r="I40" s="44">
        <v>4.5</v>
      </c>
      <c r="J40" s="44">
        <v>4.5</v>
      </c>
      <c r="K40" s="44">
        <v>-2.4590163934426235</v>
      </c>
      <c r="L40" s="44">
        <v>5</v>
      </c>
      <c r="M40" s="44">
        <v>3.7</v>
      </c>
      <c r="N40" s="44"/>
      <c r="O40" s="99"/>
      <c r="P40" s="96"/>
      <c r="Q40" s="96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H40" s="97"/>
      <c r="AI40" s="97"/>
      <c r="AJ40" s="97"/>
      <c r="AK40" s="97"/>
      <c r="AL40" s="97"/>
      <c r="AM40" s="97"/>
      <c r="AN40" s="97"/>
      <c r="AO40" s="97"/>
      <c r="AR40" s="97"/>
      <c r="AS40" s="97"/>
      <c r="AT40" s="98"/>
      <c r="AU40" s="98"/>
      <c r="AV40" s="98"/>
      <c r="AW40" s="98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</row>
    <row r="41" spans="1:69" s="95" customFormat="1" x14ac:dyDescent="0.2">
      <c r="A41" s="1" t="s">
        <v>145</v>
      </c>
      <c r="B41" s="1" t="s">
        <v>71</v>
      </c>
      <c r="C41" s="1"/>
      <c r="D41" s="1"/>
      <c r="E41" s="1"/>
      <c r="F41" s="44">
        <v>1.6802112671656271</v>
      </c>
      <c r="G41" s="44">
        <v>-2.6628895184135946</v>
      </c>
      <c r="H41" s="44">
        <v>-0.94936708860759489</v>
      </c>
      <c r="I41" s="44">
        <v>1.4062500000000016</v>
      </c>
      <c r="J41" s="44">
        <v>0.89350180505415033</v>
      </c>
      <c r="K41" s="44">
        <v>3.9</v>
      </c>
      <c r="L41" s="44">
        <v>-1.0303030303030303</v>
      </c>
      <c r="M41" s="44">
        <v>-2.4074074074074092</v>
      </c>
      <c r="N41" s="44"/>
      <c r="O41" s="96"/>
      <c r="P41" s="96"/>
      <c r="Q41" s="96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H41" s="97"/>
      <c r="AI41" s="97"/>
      <c r="AJ41" s="97"/>
      <c r="AK41" s="97"/>
      <c r="AL41" s="97"/>
      <c r="AM41" s="97"/>
      <c r="AN41" s="97"/>
      <c r="AO41" s="97"/>
      <c r="AR41" s="97"/>
      <c r="AS41" s="97"/>
      <c r="AT41" s="98"/>
      <c r="AU41" s="98"/>
      <c r="AV41" s="98"/>
      <c r="AW41" s="98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</row>
    <row r="42" spans="1:69" s="95" customFormat="1" x14ac:dyDescent="0.2">
      <c r="A42" s="1" t="s">
        <v>146</v>
      </c>
      <c r="B42" s="1" t="s">
        <v>72</v>
      </c>
      <c r="C42" s="1"/>
      <c r="D42" s="1"/>
      <c r="E42" s="1"/>
      <c r="F42" s="44">
        <v>-5.1698981777235105</v>
      </c>
      <c r="G42" s="44">
        <v>-4.5892351274787533</v>
      </c>
      <c r="H42" s="44">
        <v>2.3417721518987342</v>
      </c>
      <c r="I42" s="44">
        <v>5</v>
      </c>
      <c r="J42" s="44">
        <v>5</v>
      </c>
      <c r="K42" s="44">
        <v>-3.497267759562845</v>
      </c>
      <c r="L42" s="44">
        <v>1.2727272727272725</v>
      </c>
      <c r="M42" s="44">
        <v>-0.83333333333333881</v>
      </c>
      <c r="N42" s="44"/>
      <c r="O42" s="96"/>
      <c r="P42" s="96"/>
      <c r="Q42" s="96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H42" s="97"/>
      <c r="AI42" s="97"/>
      <c r="AJ42" s="97"/>
      <c r="AK42" s="97"/>
      <c r="AL42" s="97"/>
      <c r="AM42" s="97"/>
      <c r="AN42" s="97"/>
      <c r="AO42" s="97"/>
      <c r="AR42" s="97"/>
      <c r="AS42" s="97"/>
      <c r="AT42" s="98"/>
      <c r="AU42" s="98"/>
      <c r="AV42" s="98"/>
      <c r="AW42" s="98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</row>
    <row r="43" spans="1:69" s="95" customFormat="1" x14ac:dyDescent="0.2">
      <c r="A43" s="1" t="s">
        <v>147</v>
      </c>
      <c r="B43" s="1" t="s">
        <v>73</v>
      </c>
      <c r="C43" s="1"/>
      <c r="D43" s="1"/>
      <c r="E43" s="1"/>
      <c r="F43" s="44">
        <v>2.2026643044435379</v>
      </c>
      <c r="G43" s="44">
        <v>-1.1048158640226602</v>
      </c>
      <c r="H43" s="44">
        <v>0.37974683544303772</v>
      </c>
      <c r="I43" s="44">
        <v>-2.4999999999999991</v>
      </c>
      <c r="J43" s="44">
        <v>-2.4819494584837547</v>
      </c>
      <c r="K43" s="44">
        <v>5</v>
      </c>
      <c r="L43" s="44">
        <v>2.2999999999999998</v>
      </c>
      <c r="M43" s="44">
        <v>-1.3888888888888893</v>
      </c>
      <c r="N43" s="44"/>
      <c r="O43" s="96"/>
      <c r="P43" s="96"/>
      <c r="Q43" s="96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H43" s="97"/>
      <c r="AI43" s="97"/>
      <c r="AJ43" s="97"/>
      <c r="AK43" s="97"/>
      <c r="AL43" s="97"/>
      <c r="AM43" s="97"/>
      <c r="AN43" s="97"/>
      <c r="AO43" s="97"/>
      <c r="AR43" s="97"/>
      <c r="AS43" s="97"/>
      <c r="AT43" s="98"/>
      <c r="AU43" s="98"/>
      <c r="AV43" s="98"/>
      <c r="AW43" s="98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</row>
    <row r="44" spans="1:69" s="95" customFormat="1" x14ac:dyDescent="0.2">
      <c r="A44" s="1" t="s">
        <v>149</v>
      </c>
      <c r="B44" s="1" t="s">
        <v>74</v>
      </c>
      <c r="C44" s="1"/>
      <c r="D44" s="1"/>
      <c r="E44" s="1"/>
      <c r="F44" s="44">
        <v>-4.1670768391288595</v>
      </c>
      <c r="G44" s="44">
        <v>-1.4730878186968841</v>
      </c>
      <c r="H44" s="44">
        <v>1.3291139240506327</v>
      </c>
      <c r="I44" s="44">
        <v>4</v>
      </c>
      <c r="J44" s="44">
        <v>2.8880866425992777</v>
      </c>
      <c r="K44" s="44">
        <v>-4.5</v>
      </c>
      <c r="L44" s="44">
        <v>1.2121212121212122</v>
      </c>
      <c r="M44" s="44">
        <v>4.6296296296293678E-2</v>
      </c>
      <c r="N44" s="44"/>
      <c r="O44" s="99"/>
      <c r="P44" s="96"/>
      <c r="Q44" s="96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H44" s="97"/>
      <c r="AI44" s="97"/>
      <c r="AJ44" s="97"/>
      <c r="AK44" s="97"/>
      <c r="AL44" s="97"/>
      <c r="AM44" s="97"/>
      <c r="AN44" s="97"/>
      <c r="AO44" s="97"/>
      <c r="AR44" s="97"/>
      <c r="AS44" s="97"/>
      <c r="AT44" s="98"/>
      <c r="AU44" s="98"/>
      <c r="AV44" s="98"/>
      <c r="AW44" s="98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</row>
    <row r="45" spans="1:69" s="95" customFormat="1" x14ac:dyDescent="0.2">
      <c r="A45" s="1" t="s">
        <v>148</v>
      </c>
      <c r="B45" s="1" t="s">
        <v>75</v>
      </c>
      <c r="C45" s="1"/>
      <c r="D45" s="1"/>
      <c r="E45" s="1"/>
      <c r="F45" s="44">
        <v>2.6343936725372803</v>
      </c>
      <c r="G45" s="44">
        <v>-1.6997167138810192</v>
      </c>
      <c r="H45" s="44">
        <v>0.63291139240506322</v>
      </c>
      <c r="I45" s="44">
        <v>0.78125000000000078</v>
      </c>
      <c r="J45" s="44">
        <v>1.8682310469314085</v>
      </c>
      <c r="K45" s="44">
        <v>-3.8251366120218586</v>
      </c>
      <c r="L45" s="44">
        <v>0.30303030303030304</v>
      </c>
      <c r="M45" s="44">
        <v>2.1296296296296275</v>
      </c>
      <c r="N45" s="44"/>
      <c r="O45" s="99"/>
      <c r="P45" s="96"/>
      <c r="Q45" s="96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H45" s="97"/>
      <c r="AI45" s="97"/>
      <c r="AJ45" s="97"/>
      <c r="AK45" s="97"/>
      <c r="AL45" s="97"/>
      <c r="AM45" s="97"/>
      <c r="AN45" s="97"/>
      <c r="AO45" s="97"/>
      <c r="AR45" s="97"/>
      <c r="AS45" s="97"/>
      <c r="AT45" s="98"/>
      <c r="AU45" s="98"/>
      <c r="AV45" s="98"/>
      <c r="AW45" s="98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</row>
    <row r="46" spans="1:69" s="100" customFormat="1" x14ac:dyDescent="0.2">
      <c r="A46" s="30"/>
      <c r="B46" s="30"/>
      <c r="C46" s="30"/>
      <c r="D46" s="30"/>
      <c r="E46" s="30"/>
      <c r="F46" s="1"/>
      <c r="G46" s="1"/>
      <c r="H46" s="1"/>
      <c r="I46" s="1"/>
      <c r="J46" s="1"/>
      <c r="K46" s="1"/>
      <c r="L46" s="1"/>
      <c r="M46" s="1"/>
      <c r="N46" s="1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8"/>
      <c r="AU46" s="98"/>
      <c r="AV46" s="98"/>
      <c r="AW46" s="98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</row>
    <row r="47" spans="1:69" s="100" customFormat="1" x14ac:dyDescent="0.2">
      <c r="A47" s="30"/>
      <c r="B47" s="30"/>
      <c r="C47" s="30"/>
      <c r="D47" s="30"/>
      <c r="E47" s="30"/>
      <c r="F47" s="1"/>
      <c r="G47" s="1"/>
      <c r="H47" s="1"/>
      <c r="I47" s="1"/>
      <c r="J47" s="1"/>
      <c r="K47" s="1"/>
      <c r="L47" s="1"/>
      <c r="M47" s="1"/>
      <c r="N47" s="1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8"/>
      <c r="AU47" s="98"/>
      <c r="AV47" s="98"/>
      <c r="AW47" s="98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</row>
    <row r="48" spans="1:69" s="100" customFormat="1" x14ac:dyDescent="0.2">
      <c r="A48" s="30"/>
      <c r="B48" s="30"/>
      <c r="C48" s="30"/>
      <c r="D48" s="30"/>
      <c r="E48" s="30"/>
      <c r="F48" s="1"/>
      <c r="G48" s="1"/>
      <c r="H48" s="1"/>
      <c r="I48" s="1"/>
      <c r="J48" s="1"/>
      <c r="K48" s="1"/>
      <c r="L48" s="1"/>
      <c r="M48" s="1"/>
      <c r="N48" s="1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8"/>
      <c r="AU48" s="98"/>
      <c r="AV48" s="98"/>
      <c r="AW48" s="98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</row>
    <row r="49" spans="1:69" s="93" customFormat="1" ht="51" x14ac:dyDescent="0.2">
      <c r="A49" s="42"/>
      <c r="B49" s="42"/>
      <c r="C49" s="42"/>
      <c r="D49" s="42"/>
      <c r="E49" s="42"/>
      <c r="F49" s="42" t="s">
        <v>208</v>
      </c>
      <c r="G49" s="42" t="s">
        <v>206</v>
      </c>
      <c r="H49" s="42" t="s">
        <v>53</v>
      </c>
      <c r="I49" s="42" t="s">
        <v>32</v>
      </c>
      <c r="J49" s="42" t="s">
        <v>34</v>
      </c>
      <c r="K49" s="42" t="s">
        <v>192</v>
      </c>
      <c r="L49" s="42" t="s">
        <v>193</v>
      </c>
      <c r="M49" s="42" t="s">
        <v>194</v>
      </c>
      <c r="N49" s="42" t="s">
        <v>33</v>
      </c>
      <c r="AT49" s="94"/>
      <c r="AU49" s="94"/>
      <c r="AV49" s="94"/>
      <c r="AW49" s="94"/>
    </row>
    <row r="50" spans="1:69" s="95" customFormat="1" x14ac:dyDescent="0.2">
      <c r="A50" s="1" t="s">
        <v>131</v>
      </c>
      <c r="B50" s="1" t="s">
        <v>58</v>
      </c>
      <c r="C50" s="44"/>
      <c r="D50" s="1"/>
      <c r="E50" s="1"/>
      <c r="F50" s="44">
        <v>2.1883324508398081</v>
      </c>
      <c r="G50" s="44">
        <v>-0.75892857142856618</v>
      </c>
      <c r="H50" s="44">
        <v>0.24000000000000021</v>
      </c>
      <c r="I50" s="44">
        <v>-0.44585987261146459</v>
      </c>
      <c r="J50" s="44">
        <v>-3.3</v>
      </c>
      <c r="K50" s="44">
        <v>0.31531531531531659</v>
      </c>
      <c r="L50" s="44">
        <v>0.80745341614906818</v>
      </c>
      <c r="M50" s="44">
        <v>0.66666666666666663</v>
      </c>
      <c r="N50" s="44"/>
      <c r="O50" s="97"/>
      <c r="P50" s="97"/>
      <c r="Q50" s="97"/>
      <c r="Z50" s="97"/>
      <c r="AA50" s="97"/>
      <c r="AB50" s="97"/>
      <c r="AC50" s="97"/>
      <c r="AD50" s="97"/>
      <c r="AE50" s="97"/>
      <c r="AH50" s="97"/>
      <c r="AI50" s="97"/>
      <c r="AJ50" s="97"/>
      <c r="AK50" s="97"/>
      <c r="AL50" s="97"/>
      <c r="AM50" s="97"/>
      <c r="AN50" s="97"/>
      <c r="AO50" s="97"/>
      <c r="AR50" s="97"/>
      <c r="AS50" s="97"/>
      <c r="AT50" s="98"/>
      <c r="AU50" s="98"/>
      <c r="AV50" s="98"/>
      <c r="AW50" s="98"/>
      <c r="AX50" s="96"/>
      <c r="AY50" s="96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</row>
    <row r="51" spans="1:69" s="95" customFormat="1" x14ac:dyDescent="0.2">
      <c r="A51" s="1" t="s">
        <v>133</v>
      </c>
      <c r="B51" s="1" t="s">
        <v>59</v>
      </c>
      <c r="C51" s="44"/>
      <c r="D51" s="1"/>
      <c r="E51" s="1"/>
      <c r="F51" s="44">
        <v>1.8390992354500317</v>
      </c>
      <c r="G51" s="44">
        <v>3.4821428571428612</v>
      </c>
      <c r="H51" s="44">
        <v>7.0000000000000284E-2</v>
      </c>
      <c r="I51" s="44">
        <v>-0.92356687898089096</v>
      </c>
      <c r="J51" s="44">
        <v>-0.15364354697102783</v>
      </c>
      <c r="K51" s="44">
        <v>0.92342342342342543</v>
      </c>
      <c r="L51" s="44">
        <v>-0.99378881987577605</v>
      </c>
      <c r="M51" s="44">
        <v>1.0933333333333357</v>
      </c>
      <c r="N51" s="44"/>
      <c r="O51" s="97"/>
      <c r="P51" s="97"/>
      <c r="Q51" s="97"/>
      <c r="Z51" s="97"/>
      <c r="AA51" s="97"/>
      <c r="AB51" s="97"/>
      <c r="AC51" s="97"/>
      <c r="AD51" s="97"/>
      <c r="AE51" s="97"/>
      <c r="AH51" s="97"/>
      <c r="AI51" s="97"/>
      <c r="AJ51" s="97"/>
      <c r="AK51" s="97"/>
      <c r="AL51" s="97"/>
      <c r="AM51" s="97"/>
      <c r="AN51" s="97"/>
      <c r="AO51" s="97"/>
      <c r="AR51" s="97"/>
      <c r="AS51" s="97"/>
      <c r="AT51" s="98"/>
      <c r="AU51" s="98"/>
      <c r="AV51" s="98"/>
      <c r="AW51" s="98"/>
      <c r="AX51" s="96"/>
      <c r="AY51" s="96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</row>
    <row r="52" spans="1:69" s="95" customFormat="1" x14ac:dyDescent="0.2">
      <c r="A52" s="1" t="s">
        <v>134</v>
      </c>
      <c r="B52" s="1" t="s">
        <v>56</v>
      </c>
      <c r="C52" s="43"/>
      <c r="D52" s="1"/>
      <c r="E52" s="1"/>
      <c r="F52" s="44">
        <v>1.5817501853993905</v>
      </c>
      <c r="G52" s="44">
        <v>2.2767857142857175</v>
      </c>
      <c r="H52" s="44">
        <v>0.36000000000000015</v>
      </c>
      <c r="I52" s="44">
        <v>0.82802547770700696</v>
      </c>
      <c r="J52" s="44">
        <v>1.3959613696224757</v>
      </c>
      <c r="K52" s="44">
        <v>-4.5</v>
      </c>
      <c r="L52" s="44">
        <v>-0.3105590062111801</v>
      </c>
      <c r="M52" s="44">
        <v>2.4</v>
      </c>
      <c r="N52" s="44"/>
      <c r="O52" s="97"/>
      <c r="P52" s="97"/>
      <c r="Q52" s="97"/>
      <c r="Z52" s="97"/>
      <c r="AA52" s="97"/>
      <c r="AB52" s="97"/>
      <c r="AC52" s="97"/>
      <c r="AD52" s="97"/>
      <c r="AE52" s="97"/>
      <c r="AH52" s="97"/>
      <c r="AI52" s="97"/>
      <c r="AJ52" s="97"/>
      <c r="AK52" s="97"/>
      <c r="AL52" s="97"/>
      <c r="AM52" s="97"/>
      <c r="AN52" s="97"/>
      <c r="AO52" s="97"/>
      <c r="AR52" s="97"/>
      <c r="AS52" s="97"/>
      <c r="AT52" s="98"/>
      <c r="AU52" s="98"/>
      <c r="AV52" s="98"/>
      <c r="AW52" s="98"/>
      <c r="AX52" s="96"/>
      <c r="AY52" s="96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</row>
    <row r="53" spans="1:69" s="95" customFormat="1" x14ac:dyDescent="0.2">
      <c r="A53" s="1" t="s">
        <v>135</v>
      </c>
      <c r="B53" s="1" t="s">
        <v>57</v>
      </c>
      <c r="C53" s="44"/>
      <c r="D53" s="1"/>
      <c r="E53" s="1"/>
      <c r="F53" s="44">
        <v>1.5817501853993905</v>
      </c>
      <c r="G53" s="44">
        <v>3.0803571428571446</v>
      </c>
      <c r="H53" s="44">
        <v>-9.9999999999997868E-3</v>
      </c>
      <c r="I53" s="44">
        <v>-0.31847133757961738</v>
      </c>
      <c r="J53" s="44">
        <v>-1.0316066725197548</v>
      </c>
      <c r="K53" s="44">
        <v>-0.72072072072071813</v>
      </c>
      <c r="L53" s="44">
        <v>1.5527950310559004</v>
      </c>
      <c r="M53" s="44">
        <v>-3.9999999999999987</v>
      </c>
      <c r="N53" s="44"/>
      <c r="O53" s="97"/>
      <c r="P53" s="97"/>
      <c r="Q53" s="97"/>
      <c r="Z53" s="97"/>
      <c r="AA53" s="97"/>
      <c r="AB53" s="97"/>
      <c r="AC53" s="97"/>
      <c r="AD53" s="97"/>
      <c r="AE53" s="97"/>
      <c r="AH53" s="97"/>
      <c r="AI53" s="97"/>
      <c r="AJ53" s="97"/>
      <c r="AK53" s="97"/>
      <c r="AL53" s="97"/>
      <c r="AM53" s="97"/>
      <c r="AN53" s="97"/>
      <c r="AO53" s="97"/>
      <c r="AR53" s="97"/>
      <c r="AS53" s="97"/>
      <c r="AT53" s="98"/>
      <c r="AU53" s="98"/>
      <c r="AV53" s="98"/>
      <c r="AW53" s="98"/>
      <c r="AX53" s="96"/>
      <c r="AY53" s="96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</row>
    <row r="54" spans="1:69" s="95" customFormat="1" x14ac:dyDescent="0.2">
      <c r="A54" s="1" t="s">
        <v>136</v>
      </c>
      <c r="B54" s="1" t="s">
        <v>60</v>
      </c>
      <c r="C54" s="44"/>
      <c r="D54" s="1"/>
      <c r="E54" s="1"/>
      <c r="F54" s="44">
        <v>-0.44611691486323501</v>
      </c>
      <c r="G54" s="44">
        <v>1.517857142857145</v>
      </c>
      <c r="H54" s="44">
        <v>0.47000000000000031</v>
      </c>
      <c r="I54" s="44">
        <v>-0.63694267515923475</v>
      </c>
      <c r="J54" s="44">
        <v>-0.78577699736611173</v>
      </c>
      <c r="K54" s="44">
        <v>-0.56306306306306309</v>
      </c>
      <c r="L54" s="44">
        <v>-3.7</v>
      </c>
      <c r="M54" s="44">
        <v>3.4</v>
      </c>
      <c r="N54" s="44"/>
      <c r="O54" s="97"/>
      <c r="P54" s="97"/>
      <c r="Q54" s="97"/>
      <c r="Z54" s="97"/>
      <c r="AA54" s="97"/>
      <c r="AB54" s="97"/>
      <c r="AC54" s="97"/>
      <c r="AD54" s="97"/>
      <c r="AE54" s="97"/>
      <c r="AH54" s="97"/>
      <c r="AI54" s="97"/>
      <c r="AJ54" s="97"/>
      <c r="AK54" s="97"/>
      <c r="AL54" s="97"/>
      <c r="AM54" s="97"/>
      <c r="AN54" s="97"/>
      <c r="AO54" s="97"/>
      <c r="AR54" s="97"/>
      <c r="AS54" s="97"/>
      <c r="AT54" s="98"/>
      <c r="AU54" s="98"/>
      <c r="AV54" s="98"/>
      <c r="AW54" s="98"/>
      <c r="AX54" s="96"/>
      <c r="AY54" s="96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</row>
    <row r="55" spans="1:69" s="95" customFormat="1" x14ac:dyDescent="0.2">
      <c r="A55" s="1" t="s">
        <v>137</v>
      </c>
      <c r="B55" s="1" t="s">
        <v>61</v>
      </c>
      <c r="C55" s="44"/>
      <c r="D55" s="1"/>
      <c r="E55" s="1"/>
      <c r="F55" s="44">
        <v>-5</v>
      </c>
      <c r="G55" s="44">
        <v>4.8</v>
      </c>
      <c r="H55" s="44">
        <v>-5</v>
      </c>
      <c r="I55" s="44">
        <v>4.8</v>
      </c>
      <c r="J55" s="44">
        <v>4.8</v>
      </c>
      <c r="K55" s="44">
        <v>5</v>
      </c>
      <c r="L55" s="44">
        <v>5</v>
      </c>
      <c r="M55" s="44">
        <v>-5</v>
      </c>
      <c r="N55" s="44"/>
      <c r="O55" s="97"/>
      <c r="P55" s="97"/>
      <c r="Q55" s="97"/>
      <c r="Z55" s="97"/>
      <c r="AA55" s="97"/>
      <c r="AB55" s="97"/>
      <c r="AC55" s="97"/>
      <c r="AD55" s="97"/>
      <c r="AE55" s="97"/>
      <c r="AH55" s="97"/>
      <c r="AI55" s="97"/>
      <c r="AJ55" s="97"/>
      <c r="AK55" s="97"/>
      <c r="AL55" s="97"/>
      <c r="AM55" s="97"/>
      <c r="AN55" s="97"/>
      <c r="AO55" s="97"/>
      <c r="AR55" s="97"/>
      <c r="AS55" s="97"/>
      <c r="AT55" s="98"/>
      <c r="AU55" s="98"/>
      <c r="AV55" s="98"/>
      <c r="AW55" s="98"/>
      <c r="AX55" s="96"/>
      <c r="AY55" s="96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</row>
    <row r="56" spans="1:69" s="95" customFormat="1" x14ac:dyDescent="0.2">
      <c r="A56" s="1" t="s">
        <v>138</v>
      </c>
      <c r="B56" s="1" t="s">
        <v>62</v>
      </c>
      <c r="C56" s="44"/>
      <c r="D56" s="1"/>
      <c r="E56" s="1"/>
      <c r="F56" s="44">
        <v>-0.44611691486323501</v>
      </c>
      <c r="G56" s="44">
        <v>1.0267857142857191</v>
      </c>
      <c r="H56" s="44">
        <v>-0.23999999999999985</v>
      </c>
      <c r="I56" s="44">
        <v>2.4840764331210194</v>
      </c>
      <c r="J56" s="44">
        <v>1.0535557506584716</v>
      </c>
      <c r="K56" s="44">
        <v>-0.81081081081080952</v>
      </c>
      <c r="L56" s="44">
        <v>0.93167701863354024</v>
      </c>
      <c r="M56" s="44">
        <v>0.82666666666666899</v>
      </c>
      <c r="N56" s="44"/>
      <c r="O56" s="97"/>
      <c r="P56" s="97"/>
      <c r="Q56" s="97"/>
      <c r="Z56" s="97"/>
      <c r="AA56" s="97"/>
      <c r="AB56" s="97"/>
      <c r="AC56" s="97"/>
      <c r="AD56" s="97"/>
      <c r="AE56" s="97"/>
      <c r="AH56" s="97"/>
      <c r="AI56" s="97"/>
      <c r="AJ56" s="97"/>
      <c r="AK56" s="97"/>
      <c r="AL56" s="97"/>
      <c r="AM56" s="97"/>
      <c r="AN56" s="97"/>
      <c r="AO56" s="97"/>
      <c r="AR56" s="97"/>
      <c r="AS56" s="97"/>
      <c r="AT56" s="98"/>
      <c r="AU56" s="98"/>
      <c r="AV56" s="98"/>
      <c r="AW56" s="98"/>
      <c r="AX56" s="96"/>
      <c r="AY56" s="96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</row>
    <row r="57" spans="1:69" s="95" customFormat="1" x14ac:dyDescent="0.2">
      <c r="A57" s="1" t="s">
        <v>139</v>
      </c>
      <c r="B57" s="1" t="s">
        <v>63</v>
      </c>
      <c r="C57" s="44"/>
      <c r="D57" s="1"/>
      <c r="E57" s="1"/>
      <c r="F57" s="44">
        <v>-2.8469968328708757</v>
      </c>
      <c r="G57" s="44">
        <v>-0.58035714285714146</v>
      </c>
      <c r="H57" s="44">
        <v>5</v>
      </c>
      <c r="I57" s="44">
        <v>5</v>
      </c>
      <c r="J57" s="44">
        <v>5</v>
      </c>
      <c r="K57" s="44">
        <v>-5</v>
      </c>
      <c r="L57" s="44">
        <v>5</v>
      </c>
      <c r="M57" s="44">
        <v>5</v>
      </c>
      <c r="N57" s="44"/>
      <c r="O57" s="97"/>
      <c r="P57" s="97"/>
      <c r="Q57" s="97"/>
      <c r="Z57" s="97"/>
      <c r="AA57" s="97"/>
      <c r="AB57" s="97"/>
      <c r="AC57" s="97"/>
      <c r="AD57" s="97"/>
      <c r="AE57" s="97"/>
      <c r="AH57" s="97"/>
      <c r="AI57" s="97"/>
      <c r="AJ57" s="97"/>
      <c r="AK57" s="97"/>
      <c r="AL57" s="97"/>
      <c r="AM57" s="97"/>
      <c r="AN57" s="97"/>
      <c r="AO57" s="97"/>
      <c r="AR57" s="97"/>
      <c r="AS57" s="97"/>
      <c r="AT57" s="98"/>
      <c r="AU57" s="98"/>
      <c r="AV57" s="98"/>
      <c r="AW57" s="98"/>
      <c r="AX57" s="96"/>
      <c r="AY57" s="96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</row>
    <row r="58" spans="1:69" s="95" customFormat="1" x14ac:dyDescent="0.2">
      <c r="A58" s="1" t="s">
        <v>140</v>
      </c>
      <c r="B58" s="1" t="s">
        <v>64</v>
      </c>
      <c r="C58" s="44"/>
      <c r="D58" s="1"/>
      <c r="E58" s="1"/>
      <c r="F58" s="44">
        <v>1.8264843503219022</v>
      </c>
      <c r="G58" s="44">
        <v>-1.96428571428571</v>
      </c>
      <c r="H58" s="44">
        <v>-0.21999999999999992</v>
      </c>
      <c r="I58" s="44">
        <v>3.1847133757962512E-2</v>
      </c>
      <c r="J58" s="44">
        <v>-0.3906935908691837</v>
      </c>
      <c r="K58" s="44">
        <v>2.8</v>
      </c>
      <c r="L58" s="44">
        <v>0.43478260869565227</v>
      </c>
      <c r="M58" s="44">
        <v>-2.2133333333333325</v>
      </c>
      <c r="N58" s="44"/>
      <c r="O58" s="97"/>
      <c r="P58" s="97"/>
      <c r="Q58" s="97"/>
      <c r="Z58" s="97"/>
      <c r="AA58" s="97"/>
      <c r="AB58" s="97"/>
      <c r="AC58" s="97"/>
      <c r="AD58" s="97"/>
      <c r="AE58" s="97"/>
      <c r="AH58" s="97"/>
      <c r="AI58" s="97"/>
      <c r="AJ58" s="97"/>
      <c r="AK58" s="97"/>
      <c r="AL58" s="97"/>
      <c r="AM58" s="97"/>
      <c r="AN58" s="97"/>
      <c r="AO58" s="97"/>
      <c r="AR58" s="97"/>
      <c r="AS58" s="97"/>
      <c r="AT58" s="98"/>
      <c r="AU58" s="98"/>
      <c r="AV58" s="98"/>
      <c r="AW58" s="98"/>
      <c r="AX58" s="96"/>
      <c r="AY58" s="96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</row>
    <row r="59" spans="1:69" s="95" customFormat="1" x14ac:dyDescent="0.2">
      <c r="A59" s="1" t="s">
        <v>142</v>
      </c>
      <c r="B59" s="1" t="s">
        <v>66</v>
      </c>
      <c r="C59" s="44"/>
      <c r="D59" s="1"/>
      <c r="E59" s="1"/>
      <c r="F59" s="44">
        <v>1.8702681492557895</v>
      </c>
      <c r="G59" s="44">
        <v>0.93750000000000355</v>
      </c>
      <c r="H59" s="44">
        <v>6.0000000000000143E-2</v>
      </c>
      <c r="I59" s="44">
        <v>-0.76433121019108197</v>
      </c>
      <c r="J59" s="44">
        <v>-0.98770851624231781</v>
      </c>
      <c r="K59" s="44">
        <v>3.1</v>
      </c>
      <c r="L59" s="44">
        <v>5</v>
      </c>
      <c r="M59" s="44">
        <v>-5.3333333333330304E-2</v>
      </c>
      <c r="N59" s="44"/>
      <c r="O59" s="97"/>
      <c r="P59" s="97"/>
      <c r="Q59" s="97"/>
      <c r="Z59" s="97"/>
      <c r="AA59" s="97"/>
      <c r="AB59" s="97"/>
      <c r="AC59" s="97"/>
      <c r="AD59" s="97"/>
      <c r="AE59" s="97"/>
      <c r="AH59" s="97"/>
      <c r="AI59" s="97"/>
      <c r="AJ59" s="97"/>
      <c r="AK59" s="97"/>
      <c r="AL59" s="97"/>
      <c r="AM59" s="97"/>
      <c r="AN59" s="97"/>
      <c r="AO59" s="97"/>
      <c r="AR59" s="97"/>
      <c r="AS59" s="97"/>
      <c r="AT59" s="98"/>
      <c r="AU59" s="98"/>
      <c r="AV59" s="98"/>
      <c r="AW59" s="98"/>
      <c r="AX59" s="96"/>
      <c r="AY59" s="96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</row>
    <row r="60" spans="1:69" s="95" customFormat="1" x14ac:dyDescent="0.2">
      <c r="A60" s="1" t="s">
        <v>143</v>
      </c>
      <c r="B60" s="1" t="s">
        <v>67</v>
      </c>
      <c r="C60" s="44"/>
      <c r="D60" s="1"/>
      <c r="E60" s="1"/>
      <c r="F60" s="44">
        <v>-1.7457645992078001</v>
      </c>
      <c r="G60" s="44">
        <v>5</v>
      </c>
      <c r="H60" s="44">
        <v>0.77000000000000013</v>
      </c>
      <c r="I60" s="44">
        <v>1.8152866242038221</v>
      </c>
      <c r="J60" s="44">
        <v>2.2168568920105343</v>
      </c>
      <c r="K60" s="44">
        <v>4.0999999999999996</v>
      </c>
      <c r="L60" s="44">
        <v>5</v>
      </c>
      <c r="M60" s="44">
        <v>-1.2799999999999991</v>
      </c>
      <c r="N60" s="44"/>
      <c r="O60" s="97"/>
      <c r="P60" s="97"/>
      <c r="Q60" s="97"/>
      <c r="Z60" s="97"/>
      <c r="AA60" s="97"/>
      <c r="AB60" s="97"/>
      <c r="AC60" s="97"/>
      <c r="AD60" s="97"/>
      <c r="AE60" s="97"/>
      <c r="AH60" s="97"/>
      <c r="AI60" s="97"/>
      <c r="AJ60" s="97"/>
      <c r="AK60" s="97"/>
      <c r="AL60" s="97"/>
      <c r="AM60" s="97"/>
      <c r="AN60" s="97"/>
      <c r="AO60" s="97"/>
      <c r="AR60" s="97"/>
      <c r="AS60" s="97"/>
      <c r="AT60" s="98"/>
      <c r="AU60" s="98"/>
      <c r="AV60" s="98"/>
      <c r="AW60" s="98"/>
      <c r="AX60" s="96"/>
      <c r="AY60" s="96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</row>
    <row r="61" spans="1:69" s="95" customFormat="1" x14ac:dyDescent="0.2">
      <c r="A61" s="1" t="s">
        <v>130</v>
      </c>
      <c r="B61" s="1" t="s">
        <v>35</v>
      </c>
      <c r="C61" s="44"/>
      <c r="D61" s="1"/>
      <c r="E61" s="1"/>
      <c r="F61" s="44">
        <v>1.8390992354500317</v>
      </c>
      <c r="G61" s="44">
        <v>1.7857142857142854</v>
      </c>
      <c r="H61" s="44">
        <v>-0.10999999999999979</v>
      </c>
      <c r="I61" s="44">
        <v>6.3694267515923608E-2</v>
      </c>
      <c r="J61" s="44">
        <v>-2.2000000000000002</v>
      </c>
      <c r="K61" s="44">
        <v>0.69819819819820017</v>
      </c>
      <c r="L61" s="44">
        <v>1.6770186335403725</v>
      </c>
      <c r="M61" s="44">
        <v>-1.3066666666666644</v>
      </c>
      <c r="N61" s="44"/>
      <c r="O61" s="97"/>
      <c r="P61" s="97"/>
      <c r="Q61" s="97"/>
      <c r="Z61" s="97"/>
      <c r="AA61" s="97"/>
      <c r="AB61" s="97"/>
      <c r="AC61" s="97"/>
      <c r="AD61" s="97"/>
      <c r="AE61" s="97"/>
      <c r="AH61" s="97"/>
      <c r="AI61" s="97"/>
      <c r="AJ61" s="97"/>
      <c r="AK61" s="97"/>
      <c r="AL61" s="97"/>
      <c r="AM61" s="97"/>
      <c r="AN61" s="97"/>
      <c r="AO61" s="97"/>
      <c r="AR61" s="97"/>
      <c r="AS61" s="97"/>
      <c r="AT61" s="98"/>
      <c r="AU61" s="98"/>
      <c r="AV61" s="98"/>
      <c r="AW61" s="98"/>
      <c r="AX61" s="96"/>
      <c r="AY61" s="96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</row>
    <row r="62" spans="1:69" s="95" customFormat="1" x14ac:dyDescent="0.2">
      <c r="A62" s="1" t="s">
        <v>141</v>
      </c>
      <c r="B62" s="1" t="s">
        <v>65</v>
      </c>
      <c r="C62" s="44"/>
      <c r="D62" s="1"/>
      <c r="E62" s="1"/>
      <c r="F62" s="44">
        <v>1.6928892232011714</v>
      </c>
      <c r="G62" s="44">
        <v>2.9910714285714293</v>
      </c>
      <c r="H62" s="44">
        <v>-0.46999999999999992</v>
      </c>
      <c r="I62" s="44">
        <v>-1.3694267515923562</v>
      </c>
      <c r="J62" s="44">
        <v>-5</v>
      </c>
      <c r="K62" s="44">
        <v>-3.7</v>
      </c>
      <c r="L62" s="44">
        <v>-5</v>
      </c>
      <c r="M62" s="44">
        <v>-1.7333333333333314</v>
      </c>
      <c r="N62" s="44"/>
      <c r="O62" s="97"/>
      <c r="P62" s="97"/>
      <c r="Q62" s="97"/>
      <c r="Z62" s="97"/>
      <c r="AA62" s="97"/>
      <c r="AB62" s="97"/>
      <c r="AC62" s="97"/>
      <c r="AD62" s="97"/>
      <c r="AE62" s="97"/>
      <c r="AH62" s="97"/>
      <c r="AI62" s="97"/>
      <c r="AJ62" s="97"/>
      <c r="AK62" s="97"/>
      <c r="AL62" s="97"/>
      <c r="AM62" s="97"/>
      <c r="AN62" s="97"/>
      <c r="AO62" s="97"/>
      <c r="AR62" s="97"/>
      <c r="AS62" s="97"/>
      <c r="AT62" s="98"/>
      <c r="AU62" s="98"/>
      <c r="AV62" s="98"/>
      <c r="AW62" s="98"/>
      <c r="AX62" s="96"/>
      <c r="AY62" s="96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</row>
    <row r="63" spans="1:69" s="95" customFormat="1" x14ac:dyDescent="0.2">
      <c r="A63" s="1" t="s">
        <v>144</v>
      </c>
      <c r="B63" s="1" t="s">
        <v>68</v>
      </c>
      <c r="C63" s="44"/>
      <c r="D63" s="1"/>
      <c r="E63" s="1"/>
      <c r="F63" s="44">
        <v>-2.1762638784416293</v>
      </c>
      <c r="G63" s="44">
        <v>-4.6428571428571379</v>
      </c>
      <c r="H63" s="44">
        <v>-2.0299999999999998</v>
      </c>
      <c r="I63" s="44">
        <v>0.63694267515923608</v>
      </c>
      <c r="J63" s="44">
        <v>1.7647058823529409</v>
      </c>
      <c r="K63" s="44">
        <v>-4.8</v>
      </c>
      <c r="L63" s="44">
        <v>-4.5</v>
      </c>
      <c r="M63" s="44">
        <v>2.9333333333333331</v>
      </c>
      <c r="N63" s="44"/>
      <c r="O63" s="97"/>
      <c r="P63" s="97"/>
      <c r="Q63" s="97"/>
      <c r="Z63" s="97"/>
      <c r="AA63" s="97"/>
      <c r="AB63" s="97"/>
      <c r="AC63" s="97"/>
      <c r="AD63" s="97"/>
      <c r="AE63" s="97"/>
      <c r="AH63" s="97"/>
      <c r="AI63" s="97"/>
      <c r="AJ63" s="97"/>
      <c r="AK63" s="97"/>
      <c r="AL63" s="97"/>
      <c r="AM63" s="97"/>
      <c r="AN63" s="97"/>
      <c r="AO63" s="97"/>
      <c r="AR63" s="97"/>
      <c r="AS63" s="97"/>
      <c r="AT63" s="98"/>
      <c r="AU63" s="98"/>
      <c r="AV63" s="98"/>
      <c r="AW63" s="98"/>
      <c r="AX63" s="96"/>
      <c r="AY63" s="96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</row>
    <row r="64" spans="1:69" s="95" customFormat="1" x14ac:dyDescent="0.2">
      <c r="A64" s="1" t="s">
        <v>149</v>
      </c>
      <c r="B64" s="1" t="s">
        <v>74</v>
      </c>
      <c r="C64" s="44"/>
      <c r="D64" s="1"/>
      <c r="E64" s="1"/>
      <c r="F64" s="44">
        <v>-0.97035503509900167</v>
      </c>
      <c r="G64" s="44">
        <v>-2.9910714285714226</v>
      </c>
      <c r="H64" s="44">
        <v>1.0100000000000002</v>
      </c>
      <c r="I64" s="44">
        <v>-0.25477707006369377</v>
      </c>
      <c r="J64" s="44">
        <v>3.0158033362598764</v>
      </c>
      <c r="K64" s="44">
        <v>0.67567567567567566</v>
      </c>
      <c r="L64" s="44">
        <v>-0.6211180124223602</v>
      </c>
      <c r="M64" s="44">
        <v>2.2933333333333357</v>
      </c>
      <c r="N64" s="44"/>
      <c r="O64" s="97"/>
      <c r="P64" s="97"/>
      <c r="Q64" s="97"/>
      <c r="Z64" s="97"/>
      <c r="AA64" s="97"/>
      <c r="AB64" s="97"/>
      <c r="AC64" s="97"/>
      <c r="AD64" s="97"/>
      <c r="AE64" s="97"/>
      <c r="AH64" s="97"/>
      <c r="AI64" s="97"/>
      <c r="AJ64" s="97"/>
      <c r="AK64" s="97"/>
      <c r="AL64" s="97"/>
      <c r="AM64" s="97"/>
      <c r="AN64" s="97"/>
      <c r="AO64" s="97"/>
      <c r="AR64" s="97"/>
      <c r="AS64" s="97"/>
      <c r="AT64" s="98"/>
      <c r="AU64" s="98"/>
      <c r="AV64" s="98"/>
      <c r="AW64" s="98"/>
      <c r="AX64" s="96"/>
      <c r="AY64" s="96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</row>
    <row r="65" spans="1:69" s="95" customFormat="1" x14ac:dyDescent="0.2">
      <c r="A65" s="1" t="s">
        <v>148</v>
      </c>
      <c r="B65" s="1" t="s">
        <v>75</v>
      </c>
      <c r="C65" s="44"/>
      <c r="D65" s="1"/>
      <c r="E65" s="1"/>
      <c r="F65" s="44">
        <v>1.9982122877943955</v>
      </c>
      <c r="G65" s="44">
        <v>0.66964285714285698</v>
      </c>
      <c r="H65" s="44">
        <v>-0.37999999999999973</v>
      </c>
      <c r="I65" s="44">
        <v>-0.22292993630573193</v>
      </c>
      <c r="J65" s="44">
        <v>-3.6</v>
      </c>
      <c r="K65" s="44">
        <v>-0.2027027027027008</v>
      </c>
      <c r="L65" s="44">
        <v>1.1180124223602483</v>
      </c>
      <c r="M65" s="44">
        <v>2.5333333333333332</v>
      </c>
      <c r="N65" s="44"/>
      <c r="O65" s="97"/>
      <c r="P65" s="97"/>
      <c r="Q65" s="97"/>
      <c r="Z65" s="97"/>
      <c r="AA65" s="97"/>
      <c r="AB65" s="97"/>
      <c r="AC65" s="97"/>
      <c r="AD65" s="97"/>
      <c r="AE65" s="97"/>
      <c r="AH65" s="97"/>
      <c r="AI65" s="97"/>
      <c r="AJ65" s="97"/>
      <c r="AK65" s="97"/>
      <c r="AL65" s="97"/>
      <c r="AM65" s="97"/>
      <c r="AN65" s="97"/>
      <c r="AO65" s="97"/>
      <c r="AR65" s="97"/>
      <c r="AS65" s="97"/>
      <c r="AT65" s="98"/>
      <c r="AU65" s="98"/>
      <c r="AV65" s="98"/>
      <c r="AW65" s="98"/>
      <c r="AX65" s="96"/>
      <c r="AY65" s="96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</row>
    <row r="66" spans="1:69" s="100" customFormat="1" x14ac:dyDescent="0.2">
      <c r="F66" s="95"/>
      <c r="G66" s="95"/>
      <c r="H66" s="95"/>
      <c r="I66" s="95"/>
      <c r="J66" s="95"/>
      <c r="K66" s="95"/>
      <c r="L66" s="95"/>
      <c r="M66" s="95"/>
      <c r="N66" s="95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8"/>
      <c r="AU66" s="98"/>
      <c r="AV66" s="98"/>
      <c r="AW66" s="98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</row>
    <row r="67" spans="1:69" s="100" customFormat="1" x14ac:dyDescent="0.2">
      <c r="F67" s="95"/>
      <c r="G67" s="95"/>
      <c r="H67" s="95"/>
      <c r="I67" s="95"/>
      <c r="J67" s="95"/>
      <c r="K67" s="95"/>
      <c r="L67" s="95"/>
      <c r="M67" s="95"/>
      <c r="N67" s="95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8"/>
      <c r="AU67" s="98"/>
      <c r="AV67" s="98"/>
      <c r="AW67" s="98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</row>
    <row r="68" spans="1:69" x14ac:dyDescent="0.2">
      <c r="AT68" s="61"/>
      <c r="AU68" s="61"/>
      <c r="AV68" s="61"/>
      <c r="AW68" s="61"/>
    </row>
    <row r="69" spans="1:69" x14ac:dyDescent="0.2">
      <c r="AT69" s="61"/>
      <c r="AU69" s="61"/>
      <c r="AV69" s="61"/>
      <c r="AW69" s="61"/>
    </row>
    <row r="70" spans="1:69" x14ac:dyDescent="0.2">
      <c r="AT70" s="61"/>
      <c r="AU70" s="61"/>
      <c r="AV70" s="61"/>
      <c r="AW70" s="61"/>
    </row>
    <row r="71" spans="1:69" x14ac:dyDescent="0.2">
      <c r="AT71" s="61"/>
      <c r="AU71" s="61"/>
      <c r="AV71" s="61"/>
      <c r="AW71" s="61"/>
    </row>
    <row r="72" spans="1:69" x14ac:dyDescent="0.2">
      <c r="AT72" s="61"/>
      <c r="AU72" s="61"/>
      <c r="AV72" s="61"/>
      <c r="AW72" s="61"/>
    </row>
    <row r="73" spans="1:69" x14ac:dyDescent="0.2">
      <c r="AT73" s="61"/>
      <c r="AU73" s="61"/>
      <c r="AV73" s="61"/>
      <c r="AW73" s="61"/>
    </row>
    <row r="74" spans="1:69" x14ac:dyDescent="0.2">
      <c r="AT74" s="61"/>
      <c r="AU74" s="61"/>
      <c r="AV74" s="61"/>
      <c r="AW74" s="61"/>
    </row>
    <row r="75" spans="1:69" x14ac:dyDescent="0.2">
      <c r="AT75" s="61"/>
      <c r="AU75" s="61"/>
      <c r="AV75" s="61"/>
      <c r="AW75" s="61"/>
    </row>
    <row r="76" spans="1:69" x14ac:dyDescent="0.2">
      <c r="AT76" s="61"/>
      <c r="AU76" s="61"/>
      <c r="AV76" s="61"/>
      <c r="AW76" s="61"/>
    </row>
    <row r="77" spans="1:69" x14ac:dyDescent="0.2">
      <c r="AT77" s="61"/>
      <c r="AU77" s="61"/>
      <c r="AV77" s="61"/>
      <c r="AW77" s="61"/>
    </row>
    <row r="78" spans="1:69" x14ac:dyDescent="0.2">
      <c r="AT78" s="61"/>
      <c r="AU78" s="61"/>
      <c r="AV78" s="61"/>
      <c r="AW78" s="61"/>
    </row>
    <row r="79" spans="1:69" x14ac:dyDescent="0.2">
      <c r="AT79" s="61"/>
      <c r="AU79" s="61"/>
      <c r="AV79" s="61"/>
      <c r="AW79" s="61"/>
    </row>
    <row r="80" spans="1:69" x14ac:dyDescent="0.2">
      <c r="AT80" s="61"/>
      <c r="AU80" s="61"/>
      <c r="AV80" s="61"/>
      <c r="AW80" s="61"/>
    </row>
    <row r="81" spans="46:49" x14ac:dyDescent="0.2">
      <c r="AT81" s="61"/>
      <c r="AU81" s="61"/>
      <c r="AV81" s="61"/>
      <c r="AW81" s="61"/>
    </row>
    <row r="82" spans="46:49" x14ac:dyDescent="0.2">
      <c r="AT82" s="61"/>
      <c r="AU82" s="61"/>
      <c r="AV82" s="61"/>
      <c r="AW82" s="61"/>
    </row>
    <row r="83" spans="46:49" x14ac:dyDescent="0.2">
      <c r="AT83" s="61"/>
      <c r="AU83" s="61"/>
      <c r="AV83" s="61"/>
      <c r="AW83" s="61"/>
    </row>
    <row r="84" spans="46:49" x14ac:dyDescent="0.2">
      <c r="AT84" s="61"/>
      <c r="AU84" s="61"/>
      <c r="AV84" s="61"/>
      <c r="AW84" s="61"/>
    </row>
    <row r="85" spans="46:49" x14ac:dyDescent="0.2">
      <c r="AT85" s="61"/>
      <c r="AU85" s="61"/>
      <c r="AV85" s="61"/>
      <c r="AW85" s="61"/>
    </row>
    <row r="86" spans="46:49" x14ac:dyDescent="0.2">
      <c r="AT86" s="61"/>
      <c r="AU86" s="61"/>
      <c r="AV86" s="61"/>
      <c r="AW86" s="61"/>
    </row>
    <row r="87" spans="46:49" x14ac:dyDescent="0.2">
      <c r="AT87" s="61"/>
      <c r="AU87" s="61"/>
      <c r="AV87" s="61"/>
      <c r="AW87" s="61"/>
    </row>
    <row r="88" spans="46:49" x14ac:dyDescent="0.2">
      <c r="AT88" s="61"/>
      <c r="AU88" s="61"/>
      <c r="AV88" s="61"/>
      <c r="AW88" s="61"/>
    </row>
    <row r="89" spans="46:49" x14ac:dyDescent="0.2">
      <c r="AT89" s="61"/>
      <c r="AU89" s="61"/>
      <c r="AV89" s="61"/>
      <c r="AW89" s="61"/>
    </row>
    <row r="90" spans="46:49" x14ac:dyDescent="0.2">
      <c r="AT90" s="61"/>
      <c r="AU90" s="61"/>
      <c r="AV90" s="61"/>
      <c r="AW90" s="61"/>
    </row>
    <row r="91" spans="46:49" x14ac:dyDescent="0.2">
      <c r="AT91" s="61"/>
      <c r="AU91" s="61"/>
      <c r="AV91" s="61"/>
      <c r="AW91" s="61"/>
    </row>
    <row r="92" spans="46:49" x14ac:dyDescent="0.2">
      <c r="AT92" s="61"/>
      <c r="AU92" s="61"/>
      <c r="AV92" s="61"/>
      <c r="AW92" s="61"/>
    </row>
    <row r="93" spans="46:49" x14ac:dyDescent="0.2">
      <c r="AT93" s="61"/>
      <c r="AU93" s="61"/>
      <c r="AV93" s="61"/>
      <c r="AW93" s="61"/>
    </row>
    <row r="94" spans="46:49" x14ac:dyDescent="0.2">
      <c r="AT94" s="61"/>
      <c r="AU94" s="61"/>
      <c r="AV94" s="61"/>
      <c r="AW94" s="61"/>
    </row>
    <row r="95" spans="46:49" x14ac:dyDescent="0.2">
      <c r="AT95" s="61"/>
      <c r="AU95" s="61"/>
      <c r="AV95" s="61"/>
      <c r="AW95" s="61"/>
    </row>
    <row r="96" spans="46:49" x14ac:dyDescent="0.2">
      <c r="AT96" s="61"/>
      <c r="AU96" s="61"/>
      <c r="AV96" s="61"/>
      <c r="AW96" s="61"/>
    </row>
    <row r="97" spans="46:49" x14ac:dyDescent="0.2">
      <c r="AT97" s="61"/>
      <c r="AU97" s="61"/>
      <c r="AV97" s="61"/>
      <c r="AW97" s="61"/>
    </row>
    <row r="98" spans="46:49" x14ac:dyDescent="0.2">
      <c r="AT98" s="61"/>
      <c r="AU98" s="61"/>
      <c r="AV98" s="61"/>
      <c r="AW98" s="61"/>
    </row>
    <row r="99" spans="46:49" x14ac:dyDescent="0.2">
      <c r="AT99" s="61"/>
      <c r="AU99" s="61"/>
      <c r="AV99" s="61"/>
      <c r="AW99" s="61"/>
    </row>
    <row r="100" spans="46:49" x14ac:dyDescent="0.2">
      <c r="AT100" s="61"/>
      <c r="AU100" s="61"/>
      <c r="AV100" s="61"/>
      <c r="AW100" s="61"/>
    </row>
    <row r="101" spans="46:49" x14ac:dyDescent="0.2">
      <c r="AT101" s="61"/>
      <c r="AU101" s="61"/>
      <c r="AV101" s="61"/>
      <c r="AW101" s="61"/>
    </row>
    <row r="102" spans="46:49" x14ac:dyDescent="0.2">
      <c r="AT102" s="61"/>
      <c r="AU102" s="61"/>
      <c r="AV102" s="61"/>
      <c r="AW102" s="61"/>
    </row>
    <row r="103" spans="46:49" x14ac:dyDescent="0.2">
      <c r="AT103" s="61"/>
      <c r="AU103" s="61"/>
      <c r="AV103" s="61"/>
      <c r="AW103" s="61"/>
    </row>
    <row r="104" spans="46:49" x14ac:dyDescent="0.2">
      <c r="AT104" s="61"/>
      <c r="AU104" s="61"/>
      <c r="AV104" s="61"/>
      <c r="AW104" s="61"/>
    </row>
    <row r="105" spans="46:49" x14ac:dyDescent="0.2">
      <c r="AT105" s="61"/>
      <c r="AU105" s="61"/>
      <c r="AV105" s="61"/>
      <c r="AW105" s="61"/>
    </row>
    <row r="106" spans="46:49" x14ac:dyDescent="0.2">
      <c r="AT106" s="61"/>
      <c r="AU106" s="61"/>
      <c r="AV106" s="61"/>
      <c r="AW106" s="61"/>
    </row>
    <row r="107" spans="46:49" x14ac:dyDescent="0.2">
      <c r="AT107" s="61"/>
      <c r="AU107" s="61"/>
      <c r="AV107" s="61"/>
      <c r="AW107" s="61"/>
    </row>
    <row r="108" spans="46:49" x14ac:dyDescent="0.2">
      <c r="AT108" s="61"/>
      <c r="AU108" s="61"/>
      <c r="AV108" s="61"/>
      <c r="AW108" s="61"/>
    </row>
    <row r="109" spans="46:49" x14ac:dyDescent="0.2">
      <c r="AT109" s="61"/>
      <c r="AU109" s="61"/>
      <c r="AV109" s="61"/>
      <c r="AW109" s="61"/>
    </row>
    <row r="110" spans="46:49" x14ac:dyDescent="0.2">
      <c r="AT110" s="61"/>
      <c r="AU110" s="61"/>
      <c r="AV110" s="61"/>
      <c r="AW110" s="61"/>
    </row>
    <row r="111" spans="46:49" x14ac:dyDescent="0.2">
      <c r="AT111" s="61"/>
      <c r="AU111" s="61"/>
      <c r="AV111" s="61"/>
      <c r="AW111" s="61"/>
    </row>
  </sheetData>
  <sortState ref="A26:BZ30">
    <sortCondition ref="B26:B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GT</vt:lpstr>
      <vt:lpstr>Fiche PRO</vt:lpstr>
      <vt:lpstr>Base_lyc</vt:lpstr>
      <vt:lpstr>'Fiche GT'!Zone_d_impression</vt:lpstr>
      <vt:lpstr>'Fiche PRO'!Zone_d_impression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Camille Horent</cp:lastModifiedBy>
  <cp:lastPrinted>2024-04-16T22:01:43Z</cp:lastPrinted>
  <dcterms:created xsi:type="dcterms:W3CDTF">2009-10-09T10:01:11Z</dcterms:created>
  <dcterms:modified xsi:type="dcterms:W3CDTF">2024-07-07T23:52:36Z</dcterms:modified>
</cp:coreProperties>
</file>