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9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5.xml" ContentType="application/vnd.openxmlformats-officedocument.drawingml.chartshapes+xml"/>
  <Override PartName="/xl/charts/chart10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1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2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3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4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5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6.xml" ContentType="application/vnd.openxmlformats-officedocument.drawingml.chart+xml"/>
  <Override PartName="/xl/drawings/drawing6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SEP_Interne\INDICATEURS\Tableaux de bord 2022\"/>
    </mc:Choice>
  </mc:AlternateContent>
  <bookViews>
    <workbookView xWindow="55692" yWindow="0" windowWidth="19200" windowHeight="9036" tabRatio="778"/>
  </bookViews>
  <sheets>
    <sheet name="Fiche GT" sheetId="139" r:id="rId1"/>
    <sheet name="Fiche PRO" sheetId="153" r:id="rId2"/>
    <sheet name="Base_lyc" sheetId="154" r:id="rId3"/>
  </sheets>
  <externalReferences>
    <externalReference r:id="rId4"/>
  </externalReferences>
  <definedNames>
    <definedName name="_xlnm._FilterDatabase" localSheetId="2" hidden="1">Base_lyc!$A$14:$BP$30</definedName>
    <definedName name="abs_coll_av">#REF!</definedName>
    <definedName name="abs_coll_av_eff" localSheetId="0">#REF!</definedName>
    <definedName name="abs_coll_av_eff" localSheetId="1">#REF!</definedName>
    <definedName name="abs_coll_av_eff">#REF!</definedName>
    <definedName name="Abs_coll_avc_eff" localSheetId="0">#REF!</definedName>
    <definedName name="Abs_coll_avc_eff" localSheetId="1">#REF!</definedName>
    <definedName name="Abs_coll_avc_eff">#REF!</definedName>
    <definedName name="absentéisme_collèges_avec_effectifs" localSheetId="0">#REF!</definedName>
    <definedName name="absentéisme_collèges_avec_effectifs" localSheetId="1">#REF!</definedName>
    <definedName name="absentéisme_collèges_avec_effectifs">#REF!</definedName>
    <definedName name="Class" localSheetId="0">#REF!</definedName>
    <definedName name="Class" localSheetId="1">#REF!</definedName>
    <definedName name="Class">#REF!</definedName>
    <definedName name="Etablissement_Code">#REF!</definedName>
    <definedName name="faits_par_étab_2015_2016" localSheetId="0">#REF!</definedName>
    <definedName name="faits_par_étab_2015_2016" localSheetId="1">#REF!</definedName>
    <definedName name="faits_par_étab_2015_2016">#REF!</definedName>
    <definedName name="ids_lp_2015_2016" localSheetId="0">#REF!</definedName>
    <definedName name="ids_lp_2015_2016" localSheetId="1">#REF!</definedName>
    <definedName name="ids_lp_2015_2016">#REF!</definedName>
    <definedName name="ids_lycées_publics" localSheetId="0">#REF!</definedName>
    <definedName name="ids_lycées_publics" localSheetId="1">#REF!</definedName>
    <definedName name="ids_lycées_publics">#REF!</definedName>
    <definedName name="LP_abs1516" localSheetId="0">#REF!</definedName>
    <definedName name="LP_abs1516" localSheetId="1">#REF!</definedName>
    <definedName name="LP_abs1516">#REF!</definedName>
    <definedName name="lp_absentéisme_2015_2016" localSheetId="0">#REF!</definedName>
    <definedName name="lp_absentéisme_2015_2016" localSheetId="1">#REF!</definedName>
    <definedName name="lp_absentéisme_2015_2016">#REF!</definedName>
    <definedName name="lycées_absentéisme_2015_2016" localSheetId="0">#REF!</definedName>
    <definedName name="lycées_absentéisme_2015_2016" localSheetId="1">#REF!</definedName>
    <definedName name="lycées_absentéisme_2015_2016">#REF!</definedName>
    <definedName name="Moyenne_CCF_par_Etab" localSheetId="0">#REF!</definedName>
    <definedName name="Moyenne_CCF_par_Etab" localSheetId="1">#REF!</definedName>
    <definedName name="Moyenne_CCF_par_Etab">#REF!</definedName>
    <definedName name="moyenne_ccf_par_étab" localSheetId="0">#REF!</definedName>
    <definedName name="moyenne_ccf_par_étab" localSheetId="1">#REF!</definedName>
    <definedName name="moyenne_ccf_par_étab">#REF!</definedName>
    <definedName name="moyenne_ep_par_étab" localSheetId="0">#REF!</definedName>
    <definedName name="moyenne_ep_par_étab" localSheetId="1">#REF!</definedName>
    <definedName name="moyenne_ep_par_étab">#REF!</definedName>
    <definedName name="nuages" localSheetId="0">#REF!</definedName>
    <definedName name="nuages" localSheetId="1">#REF!</definedName>
    <definedName name="nuages">#REF!</definedName>
    <definedName name="_xlnm.Print_Area" localSheetId="0">'Fiche GT'!$A$1:$I$142</definedName>
    <definedName name="_xlnm.Print_Area" localSheetId="1">'Fiche PRO'!$A$1:$I$141</definedName>
  </definedNames>
  <calcPr calcId="162913"/>
  <fileRecoveryPr autoRecover="0"/>
</workbook>
</file>

<file path=xl/calcChain.xml><?xml version="1.0" encoding="utf-8"?>
<calcChain xmlns="http://schemas.openxmlformats.org/spreadsheetml/2006/main">
  <c r="M51" i="154" l="1"/>
  <c r="M52" i="154"/>
  <c r="M53" i="154"/>
  <c r="M54" i="154"/>
  <c r="M55" i="154"/>
  <c r="M56" i="154"/>
  <c r="M57" i="154"/>
  <c r="M58" i="154"/>
  <c r="M59" i="154"/>
  <c r="M60" i="154"/>
  <c r="M61" i="154"/>
  <c r="M62" i="154"/>
  <c r="M63" i="154"/>
  <c r="M64" i="154"/>
  <c r="M65" i="154"/>
  <c r="M50" i="154"/>
  <c r="L51" i="154"/>
  <c r="L52" i="154"/>
  <c r="L53" i="154"/>
  <c r="L54" i="154"/>
  <c r="L55" i="154"/>
  <c r="L56" i="154"/>
  <c r="L57" i="154"/>
  <c r="L58" i="154"/>
  <c r="L59" i="154"/>
  <c r="L60" i="154"/>
  <c r="L61" i="154"/>
  <c r="L62" i="154"/>
  <c r="L63" i="154"/>
  <c r="L64" i="154"/>
  <c r="L65" i="154"/>
  <c r="L50" i="154"/>
  <c r="K51" i="154"/>
  <c r="K52" i="154"/>
  <c r="K53" i="154"/>
  <c r="K54" i="154"/>
  <c r="K55" i="154"/>
  <c r="K56" i="154"/>
  <c r="K57" i="154"/>
  <c r="K58" i="154"/>
  <c r="K59" i="154"/>
  <c r="K60" i="154"/>
  <c r="K61" i="154"/>
  <c r="K62" i="154"/>
  <c r="K63" i="154"/>
  <c r="K64" i="154"/>
  <c r="K65" i="154"/>
  <c r="K50" i="154"/>
  <c r="J51" i="154"/>
  <c r="J52" i="154"/>
  <c r="J53" i="154"/>
  <c r="J54" i="154"/>
  <c r="J55" i="154"/>
  <c r="J56" i="154"/>
  <c r="J57" i="154"/>
  <c r="J58" i="154"/>
  <c r="J59" i="154"/>
  <c r="J60" i="154"/>
  <c r="J61" i="154"/>
  <c r="J62" i="154"/>
  <c r="J63" i="154"/>
  <c r="J64" i="154"/>
  <c r="J65" i="154"/>
  <c r="J50" i="154"/>
  <c r="I51" i="154"/>
  <c r="I52" i="154"/>
  <c r="I53" i="154"/>
  <c r="I54" i="154"/>
  <c r="I55" i="154"/>
  <c r="I56" i="154"/>
  <c r="I57" i="154"/>
  <c r="I58" i="154"/>
  <c r="I59" i="154"/>
  <c r="I60" i="154"/>
  <c r="I61" i="154"/>
  <c r="I62" i="154"/>
  <c r="I63" i="154"/>
  <c r="I64" i="154"/>
  <c r="I65" i="154"/>
  <c r="I50" i="154"/>
  <c r="H51" i="154"/>
  <c r="H52" i="154"/>
  <c r="H53" i="154"/>
  <c r="H54" i="154"/>
  <c r="H55" i="154"/>
  <c r="H56" i="154"/>
  <c r="H57" i="154"/>
  <c r="H58" i="154"/>
  <c r="H59" i="154"/>
  <c r="H60" i="154"/>
  <c r="H61" i="154"/>
  <c r="H62" i="154"/>
  <c r="H63" i="154"/>
  <c r="H64" i="154"/>
  <c r="H65" i="154"/>
  <c r="H50" i="154"/>
  <c r="G51" i="154"/>
  <c r="G52" i="154"/>
  <c r="G53" i="154"/>
  <c r="G54" i="154"/>
  <c r="G55" i="154"/>
  <c r="G56" i="154"/>
  <c r="G57" i="154"/>
  <c r="G58" i="154"/>
  <c r="G59" i="154"/>
  <c r="G60" i="154"/>
  <c r="G61" i="154"/>
  <c r="G62" i="154"/>
  <c r="G63" i="154"/>
  <c r="G64" i="154"/>
  <c r="G65" i="154"/>
  <c r="G50" i="154"/>
  <c r="I37" i="154"/>
  <c r="I38" i="154"/>
  <c r="I39" i="154"/>
  <c r="I40" i="154"/>
  <c r="I41" i="154"/>
  <c r="I42" i="154"/>
  <c r="I43" i="154"/>
  <c r="I44" i="154"/>
  <c r="I45" i="154"/>
  <c r="I36" i="154"/>
  <c r="H37" i="154"/>
  <c r="H38" i="154"/>
  <c r="H39" i="154"/>
  <c r="H40" i="154"/>
  <c r="H41" i="154"/>
  <c r="H42" i="154"/>
  <c r="H43" i="154"/>
  <c r="H44" i="154"/>
  <c r="H45" i="154"/>
  <c r="H36" i="154"/>
  <c r="F27" i="139" l="1"/>
  <c r="E27" i="139"/>
  <c r="D27" i="139"/>
  <c r="B3" i="153" l="1"/>
  <c r="G49" i="153" l="1"/>
  <c r="F49" i="153"/>
  <c r="G48" i="153"/>
  <c r="I49" i="153"/>
  <c r="I48" i="153"/>
  <c r="F48" i="153"/>
  <c r="S116" i="153"/>
  <c r="I46" i="153"/>
  <c r="G46" i="153"/>
  <c r="F46" i="153"/>
  <c r="I77" i="153"/>
  <c r="G76" i="153"/>
  <c r="F75" i="153"/>
  <c r="G75" i="153"/>
  <c r="G77" i="153"/>
  <c r="F76" i="153"/>
  <c r="I74" i="153"/>
  <c r="F74" i="153"/>
  <c r="F77" i="153"/>
  <c r="I75" i="153"/>
  <c r="G74" i="153"/>
  <c r="I76" i="153"/>
  <c r="N116" i="153"/>
  <c r="R116" i="153"/>
  <c r="L116" i="153"/>
  <c r="P116" i="153"/>
  <c r="M116" i="153"/>
  <c r="Q116" i="153"/>
  <c r="K116" i="153"/>
  <c r="O116" i="153"/>
  <c r="G27" i="153" l="1"/>
  <c r="E27" i="153"/>
  <c r="F27" i="153"/>
  <c r="D27" i="153"/>
  <c r="B3" i="139" l="1"/>
  <c r="S116" i="139" l="1"/>
  <c r="G48" i="139"/>
  <c r="F48" i="139"/>
  <c r="F49" i="139"/>
  <c r="I48" i="139"/>
  <c r="G49" i="139"/>
  <c r="I49" i="139"/>
  <c r="F46" i="139"/>
  <c r="G46" i="139"/>
  <c r="I46" i="139"/>
  <c r="I79" i="139"/>
  <c r="G78" i="139"/>
  <c r="F77" i="139"/>
  <c r="G79" i="139"/>
  <c r="G77" i="139"/>
  <c r="F78" i="139"/>
  <c r="I76" i="139"/>
  <c r="F79" i="139"/>
  <c r="I77" i="139"/>
  <c r="G76" i="139"/>
  <c r="I78" i="139"/>
  <c r="F76" i="139"/>
  <c r="P116" i="139"/>
  <c r="L116" i="139"/>
  <c r="N116" i="139"/>
  <c r="M116" i="139"/>
  <c r="O116" i="139"/>
  <c r="K116" i="139"/>
  <c r="Q116" i="139"/>
  <c r="R116" i="139"/>
  <c r="G104" i="153"/>
  <c r="K68" i="139"/>
  <c r="K52" i="139"/>
  <c r="K98" i="139"/>
  <c r="F105" i="139"/>
  <c r="I104" i="139"/>
  <c r="I105" i="139"/>
  <c r="H104" i="139"/>
  <c r="H105" i="139"/>
  <c r="I91" i="139"/>
  <c r="H103" i="139"/>
  <c r="F104" i="139"/>
  <c r="G104" i="139"/>
  <c r="F93" i="139"/>
  <c r="H88" i="139"/>
  <c r="G93" i="139"/>
  <c r="F92" i="139"/>
  <c r="F94" i="139"/>
  <c r="G92" i="139"/>
  <c r="G94" i="139"/>
  <c r="F21" i="139"/>
  <c r="D28" i="139" s="1"/>
  <c r="I21" i="139"/>
  <c r="F28" i="139" s="1"/>
  <c r="G75" i="139"/>
  <c r="F43" i="139"/>
  <c r="G44" i="139"/>
  <c r="I45" i="139"/>
  <c r="F62" i="139"/>
  <c r="G64" i="139"/>
  <c r="I89" i="139"/>
  <c r="F91" i="139"/>
  <c r="E22" i="139"/>
  <c r="G22" i="139"/>
  <c r="G61" i="139"/>
  <c r="I42" i="139"/>
  <c r="F44" i="139"/>
  <c r="G45" i="139"/>
  <c r="I47" i="139"/>
  <c r="F64" i="139"/>
  <c r="H89" i="139"/>
  <c r="I90" i="139"/>
  <c r="F3" i="139"/>
  <c r="F22" i="139"/>
  <c r="I22" i="139"/>
  <c r="F42" i="139"/>
  <c r="G43" i="139"/>
  <c r="I44" i="139"/>
  <c r="F47" i="139"/>
  <c r="G62" i="139"/>
  <c r="I64" i="139"/>
  <c r="F90" i="139"/>
  <c r="H91" i="139"/>
  <c r="E21" i="139"/>
  <c r="C28" i="139" s="1"/>
  <c r="G21" i="139"/>
  <c r="E28" i="139" s="1"/>
  <c r="G41" i="139"/>
  <c r="G42" i="139"/>
  <c r="I43" i="139"/>
  <c r="F45" i="139"/>
  <c r="G47" i="139"/>
  <c r="I62" i="139"/>
  <c r="F89" i="139"/>
  <c r="H90" i="139"/>
  <c r="H105" i="153" l="1"/>
  <c r="I43" i="153"/>
  <c r="F44" i="153"/>
  <c r="F63" i="153"/>
  <c r="F94" i="153"/>
  <c r="G41" i="153"/>
  <c r="G44" i="153"/>
  <c r="F47" i="153"/>
  <c r="F22" i="153"/>
  <c r="E28" i="153" s="1"/>
  <c r="I89" i="153"/>
  <c r="I105" i="153"/>
  <c r="F23" i="153"/>
  <c r="I91" i="153"/>
  <c r="G42" i="153"/>
  <c r="H91" i="153"/>
  <c r="I23" i="153"/>
  <c r="E23" i="153"/>
  <c r="I22" i="153"/>
  <c r="G28" i="153" s="1"/>
  <c r="F45" i="153"/>
  <c r="G93" i="153"/>
  <c r="F92" i="153"/>
  <c r="I45" i="153"/>
  <c r="F91" i="153"/>
  <c r="G47" i="153"/>
  <c r="I47" i="153"/>
  <c r="F42" i="153"/>
  <c r="G61" i="153"/>
  <c r="F93" i="153"/>
  <c r="I104" i="153"/>
  <c r="E22" i="153"/>
  <c r="D28" i="153" s="1"/>
  <c r="G23" i="153"/>
  <c r="G73" i="153"/>
  <c r="I61" i="153"/>
  <c r="I42" i="153"/>
  <c r="H103" i="153"/>
  <c r="F61" i="153"/>
  <c r="G92" i="153"/>
  <c r="F89" i="153"/>
  <c r="H89" i="153"/>
  <c r="G43" i="153"/>
  <c r="I63" i="153"/>
  <c r="F104" i="153"/>
  <c r="F105" i="153"/>
  <c r="G22" i="153"/>
  <c r="F28" i="153" s="1"/>
  <c r="G60" i="153"/>
  <c r="F3" i="153"/>
  <c r="H90" i="153"/>
  <c r="G45" i="153"/>
  <c r="F43" i="153"/>
  <c r="G63" i="153"/>
  <c r="G94" i="153"/>
  <c r="H88" i="153"/>
  <c r="I90" i="153"/>
  <c r="I44" i="153"/>
  <c r="F90" i="153"/>
  <c r="H104" i="153"/>
</calcChain>
</file>

<file path=xl/sharedStrings.xml><?xml version="1.0" encoding="utf-8"?>
<sst xmlns="http://schemas.openxmlformats.org/spreadsheetml/2006/main" count="673" uniqueCount="243">
  <si>
    <t>Moyens de fonctionnement</t>
  </si>
  <si>
    <t>–</t>
  </si>
  <si>
    <t>– –</t>
  </si>
  <si>
    <t>+</t>
  </si>
  <si>
    <t>+ +</t>
  </si>
  <si>
    <t>Moyens importants</t>
  </si>
  <si>
    <t>Population favorisée</t>
  </si>
  <si>
    <t>Parcours des élèves</t>
  </si>
  <si>
    <t>Radar</t>
  </si>
  <si>
    <t>Réussite aux examens</t>
  </si>
  <si>
    <t>VA</t>
  </si>
  <si>
    <t>Taux d'accès plus performant</t>
  </si>
  <si>
    <t>-</t>
  </si>
  <si>
    <t>CPE :</t>
  </si>
  <si>
    <t>Gestionnaire :</t>
  </si>
  <si>
    <t>Effectifs d'élèves</t>
  </si>
  <si>
    <t>Effectifs d'élèves de niveau lycée PRO</t>
  </si>
  <si>
    <t>Etablissement</t>
  </si>
  <si>
    <t>Public</t>
  </si>
  <si>
    <t>Identification</t>
  </si>
  <si>
    <t xml:space="preserve">Nombre d'heures d'enseignement devant élèves, </t>
  </si>
  <si>
    <t>Ressources humaines</t>
  </si>
  <si>
    <t>Proportion d'enseignants de statut territorial (%)</t>
  </si>
  <si>
    <t>Proportion d'enseignants titulaires (%)</t>
  </si>
  <si>
    <t>Ancienneté moyenne des enseignants (année)</t>
  </si>
  <si>
    <t>Âge moyen des enseignants (année)</t>
  </si>
  <si>
    <t>Tél :</t>
  </si>
  <si>
    <t>Fax :</t>
  </si>
  <si>
    <t>Courriel :</t>
  </si>
  <si>
    <t>Nouméa</t>
  </si>
  <si>
    <t>Quartier :</t>
  </si>
  <si>
    <t>Commune :</t>
  </si>
  <si>
    <t>H/E</t>
  </si>
  <si>
    <t>% d'enseignants titulaires</t>
  </si>
  <si>
    <t>E/D*</t>
  </si>
  <si>
    <t>9830003L</t>
  </si>
  <si>
    <t>Nouville</t>
  </si>
  <si>
    <t>34-35-55</t>
  </si>
  <si>
    <t>27-76-46</t>
  </si>
  <si>
    <t>ce.9830003l@ac-noumea.nc</t>
  </si>
  <si>
    <t>M. Michel LEHOULLIER</t>
  </si>
  <si>
    <t>Proviseur :</t>
  </si>
  <si>
    <t>Proviseurs adjoints :</t>
  </si>
  <si>
    <t>Chefs de travaux</t>
  </si>
  <si>
    <t>Effectifs d'élèves de niveau lycée GT</t>
  </si>
  <si>
    <t>Effectifs d'élèves de niveau post-bac</t>
  </si>
  <si>
    <t>Proportion d'élèves en retard à l'entrée en 2nde (%)</t>
  </si>
  <si>
    <t>par élève - niveau lycée GT (H/E)</t>
  </si>
  <si>
    <t>Nombre d'élèves par division - niveau lycée GT (E/D)</t>
  </si>
  <si>
    <t>Taux de réussite au BTS (%)</t>
  </si>
  <si>
    <t>Taux d'accès de la 2nde au Bac GT (%)</t>
  </si>
  <si>
    <t>Taux d'accès de la 1ère au Bac GT (%)</t>
  </si>
  <si>
    <t>Taux d'accès de la Term. au Bac GT (%)</t>
  </si>
  <si>
    <t>% élèves en retard en 2nde*</t>
  </si>
  <si>
    <t>Taux de passage 2nde GT/1ère G</t>
  </si>
  <si>
    <t>Taux de redoublement 2nde*</t>
  </si>
  <si>
    <t>9830270B</t>
  </si>
  <si>
    <t>9830271C</t>
  </si>
  <si>
    <t>9830006P</t>
  </si>
  <si>
    <t>9830269A</t>
  </si>
  <si>
    <t>9830272D</t>
  </si>
  <si>
    <t>9830273E</t>
  </si>
  <si>
    <t>9830294C</t>
  </si>
  <si>
    <t>9830299H</t>
  </si>
  <si>
    <t>9830306R</t>
  </si>
  <si>
    <t>9830377T</t>
  </si>
  <si>
    <t>9830401U</t>
  </si>
  <si>
    <t>9830460H</t>
  </si>
  <si>
    <t>9830483H</t>
  </si>
  <si>
    <t>9830002K</t>
  </si>
  <si>
    <t>9830261S</t>
  </si>
  <si>
    <t>9830504F</t>
  </si>
  <si>
    <t>9830507J</t>
  </si>
  <si>
    <t>9830557N</t>
  </si>
  <si>
    <t>9830635Y</t>
  </si>
  <si>
    <t>9830693L</t>
  </si>
  <si>
    <t>Privé</t>
  </si>
  <si>
    <t>Secteur (PU / PR)</t>
  </si>
  <si>
    <t>Appellation - Sigle</t>
  </si>
  <si>
    <t>Commune</t>
  </si>
  <si>
    <t xml:space="preserve">LGT           </t>
  </si>
  <si>
    <t xml:space="preserve">LPO           </t>
  </si>
  <si>
    <t xml:space="preserve">LP            </t>
  </si>
  <si>
    <t xml:space="preserve">LGT PR        </t>
  </si>
  <si>
    <t xml:space="preserve">LP PR         </t>
  </si>
  <si>
    <t xml:space="preserve">LPO PR        </t>
  </si>
  <si>
    <t>Poindimié</t>
  </si>
  <si>
    <t>Mont-Dore</t>
  </si>
  <si>
    <t>Païta</t>
  </si>
  <si>
    <t>Bourail</t>
  </si>
  <si>
    <t>Houaïlou</t>
  </si>
  <si>
    <t>Pouébo</t>
  </si>
  <si>
    <t>Lifou</t>
  </si>
  <si>
    <t>Touho</t>
  </si>
  <si>
    <t>Dumbéa</t>
  </si>
  <si>
    <t>Pouembout</t>
  </si>
  <si>
    <t>RNE + dénomination</t>
  </si>
  <si>
    <t>pcs_def_etab</t>
  </si>
  <si>
    <t>pcs_def_sec</t>
  </si>
  <si>
    <t>pcs_def_aca</t>
  </si>
  <si>
    <t>pcs_tfav_etab</t>
  </si>
  <si>
    <t>pcs_tfav_sec</t>
  </si>
  <si>
    <t>pcs_tfav_aca</t>
  </si>
  <si>
    <t>ips_etab</t>
  </si>
  <si>
    <t>ips_sec</t>
  </si>
  <si>
    <t>ips_aca</t>
  </si>
  <si>
    <t>retard_etab</t>
  </si>
  <si>
    <t>retard_sec</t>
  </si>
  <si>
    <t>retard_aca</t>
  </si>
  <si>
    <t>h/e_etab</t>
  </si>
  <si>
    <t>h/e_sec</t>
  </si>
  <si>
    <t>h/e_aca</t>
  </si>
  <si>
    <t>e/d_etab</t>
  </si>
  <si>
    <t>e/d_sec</t>
  </si>
  <si>
    <t>e/d_aca</t>
  </si>
  <si>
    <t>ens_terr_etab</t>
  </si>
  <si>
    <t>ens_terr_sec</t>
  </si>
  <si>
    <t>ens_terr_aca</t>
  </si>
  <si>
    <t>ens_tit_etab</t>
  </si>
  <si>
    <t>ens_tit_sec</t>
  </si>
  <si>
    <t>ens_tit_aca</t>
  </si>
  <si>
    <t>anc_etab</t>
  </si>
  <si>
    <t>anc_sec</t>
  </si>
  <si>
    <t>anc_aca</t>
  </si>
  <si>
    <t>age_etab</t>
  </si>
  <si>
    <t>age_sec</t>
  </si>
  <si>
    <t>age_aca</t>
  </si>
  <si>
    <r>
      <t xml:space="preserve">Population défavorisée </t>
    </r>
    <r>
      <rPr>
        <b/>
        <sz val="8"/>
        <rFont val="Arial"/>
        <family val="2"/>
      </rPr>
      <t>(classement des établissements publics et privés)</t>
    </r>
  </si>
  <si>
    <r>
      <t xml:space="preserve">Moyens faibles </t>
    </r>
    <r>
      <rPr>
        <b/>
        <sz val="8"/>
        <rFont val="Arial"/>
        <family val="2"/>
      </rPr>
      <t>(classement des établissements publics et privés)</t>
    </r>
  </si>
  <si>
    <t>9830002K : Lycée La Pérouse</t>
  </si>
  <si>
    <t>9830003L : Lycée polyvalent Jules Garnier</t>
  </si>
  <si>
    <t>9830006P : Lycee professionnel, commercial et hôtelier Auguste Escoffier</t>
  </si>
  <si>
    <t>9830261S : Lycée privé Blaise Pascal (DDEC)</t>
  </si>
  <si>
    <t>9830269A : Lycée professionnel privé Saint Joseph de Cluny (DDEC)</t>
  </si>
  <si>
    <t>9830270B : Lycée professionnel privé Saint Jean 23 (DDEC)</t>
  </si>
  <si>
    <t>9830271C : Lycée professionnel privé Marcellin Champagnat (DDEC)</t>
  </si>
  <si>
    <t>9830272D : Lycée professionnel privé François d'Assise  (DDEC)</t>
  </si>
  <si>
    <t>9830273E : Lycée professionnel privé Gabriel Rivat (DDEC)</t>
  </si>
  <si>
    <t>9830294C : Lycée professionnel privé Père Guéneau (DDEC)</t>
  </si>
  <si>
    <t>9830299H : Lycée professionnel privé Johanna Vakie (DDEC)</t>
  </si>
  <si>
    <t>9830306R : lycee professionnel Petro Attiti</t>
  </si>
  <si>
    <t>9830377T : Lycee polyvalent privé Do Kamo (ASEE)</t>
  </si>
  <si>
    <t>9830401U : Lycée professionnel privé Saint Pierre Chanel (DDEC)</t>
  </si>
  <si>
    <t>9830460H : Lycée professionnel Augustin Ty</t>
  </si>
  <si>
    <t>9830483H : Lycée polyvalent Williama Haudra</t>
  </si>
  <si>
    <t>9830504F : Lycée privé Apollinaire Anova (DDEC)</t>
  </si>
  <si>
    <t xml:space="preserve">9830507J : Lycée Antoine Kela                  </t>
  </si>
  <si>
    <t>9830557N : Lycée du Grand Nouméa</t>
  </si>
  <si>
    <t>9830693L : Lycée polyvalent du Mont-Dore</t>
  </si>
  <si>
    <t>9830635Y : Lycée agricole et général Michel Rocard</t>
  </si>
  <si>
    <t>eff_niv_lyc_2012</t>
  </si>
  <si>
    <t>eff_postbac_2012</t>
  </si>
  <si>
    <t>red2nde_etab</t>
  </si>
  <si>
    <t>red2nde_sec</t>
  </si>
  <si>
    <t>red2nde_aca</t>
  </si>
  <si>
    <t>acc2nde-bac_etab</t>
  </si>
  <si>
    <t>acc1è-bac_etab</t>
  </si>
  <si>
    <t>accTle-bac_etab</t>
  </si>
  <si>
    <t>VA_bacGT_etab</t>
  </si>
  <si>
    <t>Rne</t>
  </si>
  <si>
    <t>Proportion d'élèves en retard à l'entrée en 2nde PRO (%)</t>
  </si>
  <si>
    <t>par élève - niveau lycée PRO (H/E)</t>
  </si>
  <si>
    <t>Nombre d'élèves par division - niveau lycée PRO (E/D)</t>
  </si>
  <si>
    <t>acc2nde-bac_VA</t>
  </si>
  <si>
    <t>acc1è-bac_VA</t>
  </si>
  <si>
    <t>accTle-bac_VA</t>
  </si>
  <si>
    <t>réussite_bacGT_etab</t>
  </si>
  <si>
    <t>VA_bacPRO_etab</t>
  </si>
  <si>
    <t>réussite_bacPRO_etab</t>
  </si>
  <si>
    <t>pas_2nde-1èPRO_etab</t>
  </si>
  <si>
    <t>pas_2nde-1èPRO_sec</t>
  </si>
  <si>
    <t>pas_2nde-1èPRO_aca</t>
  </si>
  <si>
    <t>pas_2nde-voie_pro_etab</t>
  </si>
  <si>
    <t>pas_2nde-voie_pro_sec</t>
  </si>
  <si>
    <t>pas_2nde-voie_pro_aca</t>
  </si>
  <si>
    <t>Taux de réussite au bac GT (%)</t>
  </si>
  <si>
    <t>Réussite_BTS_etab</t>
  </si>
  <si>
    <t>Réussite_BTS_sec</t>
  </si>
  <si>
    <t>Réussite_BTS_aca</t>
  </si>
  <si>
    <r>
      <t xml:space="preserve">Taux d'accès moins performant </t>
    </r>
    <r>
      <rPr>
        <b/>
        <sz val="8"/>
        <rFont val="Arial"/>
        <family val="2"/>
      </rPr>
      <t>(classement des établissements publics et privés)</t>
    </r>
  </si>
  <si>
    <t>Taux de réussite au bac GT</t>
  </si>
  <si>
    <t>réussite_bacGT_sec</t>
  </si>
  <si>
    <t>réussite_bacGT_aca</t>
  </si>
  <si>
    <t>réussite_bacPRO_sec</t>
  </si>
  <si>
    <t>réussite_bacPRO_aca</t>
  </si>
  <si>
    <t>Taux de passage 2de PRO/1ère PRO (%)</t>
  </si>
  <si>
    <t>Taux d'accès de la 2nde au Bac PRO (%)</t>
  </si>
  <si>
    <t>Taux d'accès de la 1ère au Bac PRO (%)</t>
  </si>
  <si>
    <t>Taux d'accès de la Term. au Bac PRO (%)</t>
  </si>
  <si>
    <t>Taux de redoublement 2nde PRO (%)</t>
  </si>
  <si>
    <t>Taux de redoublement 2nde GT (%)</t>
  </si>
  <si>
    <t>Taux de réussite au bac PRO (%)</t>
  </si>
  <si>
    <t>% élèves en retard en 2nde PRO*</t>
  </si>
  <si>
    <t>Taux de passage 2nde /1ère PRO</t>
  </si>
  <si>
    <t>Taux de redoublement 2nde PRO*</t>
  </si>
  <si>
    <t>Taux de réussite au bac PRO</t>
  </si>
  <si>
    <t>* Inversé</t>
  </si>
  <si>
    <t>Public + privé</t>
  </si>
  <si>
    <t>&lt;= Sélectionner l'établissement dans la liste déroulante (cliquer sur la flèche indiquant vers le bas)</t>
  </si>
  <si>
    <t>Taux de passage 2nde GT/1ère GT (%)</t>
  </si>
  <si>
    <t>Taux de passage 2nde GT/voie PRO (%)</t>
  </si>
  <si>
    <t>pas_2nde-1èGT_etab</t>
  </si>
  <si>
    <t>pas_2nde-1èGT_sec</t>
  </si>
  <si>
    <t>pas_2nde-1èGT_aca</t>
  </si>
  <si>
    <t>pas_2nde-CAP_etab</t>
  </si>
  <si>
    <t>pas_2nde-CAP_sec</t>
  </si>
  <si>
    <t>pas_2nde-CAP_aca</t>
  </si>
  <si>
    <t>Indice de position sociale</t>
  </si>
  <si>
    <t>Contexte scolaire</t>
  </si>
  <si>
    <t>Indice d'éloignement</t>
  </si>
  <si>
    <t>ie_etab</t>
  </si>
  <si>
    <t>ie_sec</t>
  </si>
  <si>
    <t>ie_aca</t>
  </si>
  <si>
    <t>Indice d'éloignement*</t>
  </si>
  <si>
    <t>Indice d'éloignement du collège le plus proche</t>
  </si>
  <si>
    <t>eff_niv_lyc_2021</t>
  </si>
  <si>
    <t>eff_postbac_2021</t>
  </si>
  <si>
    <t>9830635Y : Lycée polyvalent Michel Rocard</t>
  </si>
  <si>
    <t>Proportion d'élèves issus de PCS défavorisées (%)</t>
  </si>
  <si>
    <t>Proportion d'élèves issus de PCS très favorisées (%)</t>
  </si>
  <si>
    <t>Indice de position sociale niveau lycée GT</t>
  </si>
  <si>
    <t>Indice de position sociale niveau lycée PRO</t>
  </si>
  <si>
    <t>eff_niv_lyc_2022</t>
  </si>
  <si>
    <t>eff_postbac_2022</t>
  </si>
  <si>
    <t>boursier_etab</t>
  </si>
  <si>
    <t>boursier_sec</t>
  </si>
  <si>
    <t>boursier_aca</t>
  </si>
  <si>
    <t>Taux de boursiers niveau lycée GT</t>
  </si>
  <si>
    <t>Taux de boursiers niveau lycée PRO</t>
  </si>
  <si>
    <t>Année 2022</t>
  </si>
  <si>
    <t>Années 2021-2022</t>
  </si>
  <si>
    <t>eff_niv_lyc_2023</t>
  </si>
  <si>
    <t>eff_postbac_2023</t>
  </si>
  <si>
    <t>Taux de passage 2de PRO/CAP (%)</t>
  </si>
  <si>
    <t>maitrise_fr_etab</t>
  </si>
  <si>
    <t>maitrise_fr_sec</t>
  </si>
  <si>
    <t>maitrise_fr_aca</t>
  </si>
  <si>
    <t>maitrise_maths_etab</t>
  </si>
  <si>
    <t>maitrise_maths_sec</t>
  </si>
  <si>
    <t>maitrise_maths_aca</t>
  </si>
  <si>
    <t>Niveau de maîtrise* en français des élèves entrant en 2nde (%)</t>
  </si>
  <si>
    <t>Niveau de maîtrise* en mathématiques des élèves entrant en 2nde (%)</t>
  </si>
  <si>
    <t>* Maîtrise satisfaisante ou très bonne maîtrise des compétences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</si>
</sst>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0.0"/>
    <numFmt numFmtId="166" formatCode="#,##0.0"/>
  </numFmts>
  <fonts count="49">
    <font>
      <sz val="10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0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1"/>
      <color indexed="9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9"/>
      <name val="Arial Unicode MS"/>
      <family val="2"/>
    </font>
    <font>
      <b/>
      <sz val="10"/>
      <color rgb="FFFF0000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sz val="10"/>
      <color theme="0"/>
      <name val="Arial"/>
      <family val="2"/>
    </font>
    <font>
      <b/>
      <sz val="12"/>
      <color theme="9" tint="-0.249977111117893"/>
      <name val="Arial"/>
      <family val="2"/>
    </font>
    <font>
      <u/>
      <sz val="10"/>
      <color theme="10"/>
      <name val="MS Sans Serif"/>
    </font>
    <font>
      <u/>
      <sz val="10"/>
      <color theme="10"/>
      <name val="Arial"/>
      <family val="2"/>
    </font>
    <font>
      <sz val="14"/>
      <name val="Arial"/>
      <family val="2"/>
    </font>
    <font>
      <sz val="10"/>
      <color rgb="FFFF0000"/>
      <name val="Arial"/>
      <family val="2"/>
    </font>
    <font>
      <b/>
      <sz val="10"/>
      <color theme="0"/>
      <name val="Arial"/>
      <family val="2"/>
    </font>
    <font>
      <i/>
      <sz val="8"/>
      <name val="Arial"/>
      <family val="2"/>
    </font>
    <font>
      <sz val="10"/>
      <color theme="0"/>
      <name val="MS Sans Serif"/>
    </font>
  </fonts>
  <fills count="30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2">
    <xf numFmtId="0" fontId="0" fillId="0" borderId="0"/>
    <xf numFmtId="0" fontId="11" fillId="3" borderId="0" applyNumberFormat="0" applyBorder="0" applyAlignment="0" applyProtection="0"/>
    <xf numFmtId="0" fontId="11" fillId="5" borderId="0" applyNumberFormat="0" applyBorder="0" applyAlignment="0" applyProtection="0"/>
    <xf numFmtId="0" fontId="11" fillId="7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8" borderId="0" applyNumberFormat="0" applyBorder="0" applyAlignment="0" applyProtection="0"/>
    <xf numFmtId="0" fontId="11" fillId="2" borderId="0" applyNumberFormat="0" applyBorder="0" applyAlignment="0" applyProtection="0"/>
    <xf numFmtId="0" fontId="11" fillId="4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2" borderId="0" applyNumberFormat="0" applyBorder="0" applyAlignment="0" applyProtection="0"/>
    <xf numFmtId="0" fontId="11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4" borderId="0" applyNumberFormat="0" applyBorder="0" applyAlignment="0" applyProtection="0"/>
    <xf numFmtId="0" fontId="12" fillId="12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21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5" borderId="0" applyNumberFormat="0" applyBorder="0" applyAlignment="0" applyProtection="0"/>
    <xf numFmtId="0" fontId="13" fillId="0" borderId="0" applyNumberFormat="0" applyFill="0" applyBorder="0" applyAlignment="0" applyProtection="0"/>
    <xf numFmtId="0" fontId="14" fillId="22" borderId="1" applyNumberFormat="0" applyAlignment="0" applyProtection="0"/>
    <xf numFmtId="0" fontId="15" fillId="0" borderId="2" applyNumberFormat="0" applyFill="0" applyAlignment="0" applyProtection="0"/>
    <xf numFmtId="0" fontId="8" fillId="6" borderId="3" applyNumberFormat="0" applyFont="0" applyAlignment="0" applyProtection="0"/>
    <xf numFmtId="0" fontId="16" fillId="8" borderId="1" applyNumberFormat="0" applyAlignment="0" applyProtection="0"/>
    <xf numFmtId="0" fontId="17" fillId="5" borderId="0" applyNumberFormat="0" applyBorder="0" applyAlignment="0" applyProtection="0"/>
    <xf numFmtId="0" fontId="18" fillId="11" borderId="0" applyNumberFormat="0" applyBorder="0" applyAlignment="0" applyProtection="0"/>
    <xf numFmtId="0" fontId="9" fillId="0" borderId="0"/>
    <xf numFmtId="0" fontId="19" fillId="7" borderId="0" applyNumberFormat="0" applyBorder="0" applyAlignment="0" applyProtection="0"/>
    <xf numFmtId="0" fontId="20" fillId="22" borderId="4" applyNumberFormat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5" applyNumberFormat="0" applyFill="0" applyAlignment="0" applyProtection="0"/>
    <xf numFmtId="0" fontId="24" fillId="0" borderId="6" applyNumberFormat="0" applyFill="0" applyAlignment="0" applyProtection="0"/>
    <xf numFmtId="0" fontId="25" fillId="0" borderId="7" applyNumberFormat="0" applyFill="0" applyAlignment="0" applyProtection="0"/>
    <xf numFmtId="0" fontId="25" fillId="0" borderId="0" applyNumberFormat="0" applyFill="0" applyBorder="0" applyAlignment="0" applyProtection="0"/>
    <xf numFmtId="0" fontId="26" fillId="0" borderId="8" applyNumberFormat="0" applyFill="0" applyAlignment="0" applyProtection="0"/>
    <xf numFmtId="0" fontId="27" fillId="23" borderId="9" applyNumberFormat="0" applyAlignment="0" applyProtection="0"/>
    <xf numFmtId="44" fontId="8" fillId="0" borderId="0" applyFont="0" applyFill="0" applyBorder="0" applyAlignment="0" applyProtection="0"/>
    <xf numFmtId="0" fontId="8" fillId="0" borderId="0"/>
    <xf numFmtId="0" fontId="7" fillId="0" borderId="0"/>
    <xf numFmtId="0" fontId="28" fillId="0" borderId="0"/>
    <xf numFmtId="9" fontId="9" fillId="0" borderId="0" applyFont="0" applyFill="0" applyBorder="0" applyAlignment="0" applyProtection="0"/>
    <xf numFmtId="0" fontId="8" fillId="0" borderId="0"/>
    <xf numFmtId="0" fontId="29" fillId="0" borderId="0"/>
    <xf numFmtId="164" fontId="8" fillId="0" borderId="0" applyFont="0" applyFill="0" applyBorder="0" applyAlignment="0" applyProtection="0"/>
    <xf numFmtId="0" fontId="6" fillId="0" borderId="0"/>
    <xf numFmtId="0" fontId="30" fillId="0" borderId="0"/>
    <xf numFmtId="0" fontId="31" fillId="0" borderId="0"/>
    <xf numFmtId="0" fontId="9" fillId="0" borderId="0"/>
    <xf numFmtId="0" fontId="5" fillId="0" borderId="0"/>
    <xf numFmtId="0" fontId="32" fillId="0" borderId="0"/>
    <xf numFmtId="0" fontId="9" fillId="0" borderId="0"/>
    <xf numFmtId="0" fontId="9" fillId="0" borderId="0"/>
    <xf numFmtId="9" fontId="8" fillId="0" borderId="0" applyFont="0" applyFill="0" applyBorder="0" applyAlignment="0" applyProtection="0"/>
    <xf numFmtId="0" fontId="34" fillId="0" borderId="0"/>
    <xf numFmtId="0" fontId="4" fillId="0" borderId="0"/>
    <xf numFmtId="0" fontId="35" fillId="0" borderId="0"/>
    <xf numFmtId="0" fontId="36" fillId="0" borderId="0"/>
    <xf numFmtId="0" fontId="3" fillId="0" borderId="0"/>
    <xf numFmtId="0" fontId="42" fillId="0" borderId="0" applyNumberFormat="0" applyFill="0" applyBorder="0" applyAlignment="0" applyProtection="0"/>
    <xf numFmtId="0" fontId="2" fillId="0" borderId="0"/>
    <xf numFmtId="0" fontId="9" fillId="0" borderId="0"/>
    <xf numFmtId="0" fontId="30" fillId="0" borderId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1">
    <xf numFmtId="0" fontId="0" fillId="0" borderId="0" xfId="0"/>
    <xf numFmtId="0" fontId="40" fillId="0" borderId="0" xfId="0" applyFont="1" applyFill="1"/>
    <xf numFmtId="0" fontId="9" fillId="0" borderId="0" xfId="0" applyFont="1"/>
    <xf numFmtId="0" fontId="41" fillId="0" borderId="0" xfId="0" applyFont="1" applyAlignment="1">
      <alignment horizontal="left" wrapText="1"/>
    </xf>
    <xf numFmtId="0" fontId="41" fillId="0" borderId="0" xfId="0" applyFont="1" applyAlignment="1">
      <alignment vertical="center" wrapText="1"/>
    </xf>
    <xf numFmtId="0" fontId="41" fillId="0" borderId="0" xfId="0" applyFont="1" applyAlignment="1"/>
    <xf numFmtId="0" fontId="10" fillId="0" borderId="10" xfId="0" applyFont="1" applyBorder="1" applyAlignment="1">
      <alignment horizontal="center"/>
    </xf>
    <xf numFmtId="165" fontId="9" fillId="0" borderId="12" xfId="0" applyNumberFormat="1" applyFont="1" applyBorder="1" applyAlignment="1">
      <alignment horizontal="center"/>
    </xf>
    <xf numFmtId="0" fontId="41" fillId="0" borderId="0" xfId="0" applyFont="1" applyAlignment="1">
      <alignment vertical="top"/>
    </xf>
    <xf numFmtId="0" fontId="9" fillId="0" borderId="0" xfId="0" applyFont="1" applyFill="1"/>
    <xf numFmtId="0" fontId="43" fillId="0" borderId="0" xfId="65" applyFont="1"/>
    <xf numFmtId="0" fontId="41" fillId="0" borderId="0" xfId="0" applyFont="1" applyAlignment="1">
      <alignment vertical="center"/>
    </xf>
    <xf numFmtId="0" fontId="44" fillId="25" borderId="0" xfId="0" quotePrefix="1" applyFont="1" applyFill="1" applyAlignment="1">
      <alignment horizontal="center" vertical="center"/>
    </xf>
    <xf numFmtId="165" fontId="9" fillId="0" borderId="0" xfId="0" applyNumberFormat="1" applyFont="1" applyAlignment="1">
      <alignment horizontal="center"/>
    </xf>
    <xf numFmtId="0" fontId="9" fillId="0" borderId="0" xfId="0" applyFont="1" applyBorder="1" applyAlignment="1">
      <alignment horizont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horizontal="right" vertical="center"/>
    </xf>
    <xf numFmtId="0" fontId="10" fillId="0" borderId="12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quotePrefix="1" applyFont="1" applyAlignment="1">
      <alignment horizontal="left" indent="5"/>
    </xf>
    <xf numFmtId="0" fontId="9" fillId="0" borderId="0" xfId="0" applyFont="1" applyAlignment="1">
      <alignment horizontal="left" indent="5"/>
    </xf>
    <xf numFmtId="0" fontId="9" fillId="0" borderId="0" xfId="0" applyFont="1" applyAlignment="1">
      <alignment horizontal="center" wrapText="1"/>
    </xf>
    <xf numFmtId="0" fontId="9" fillId="0" borderId="0" xfId="0" applyFont="1" applyAlignment="1">
      <alignment horizontal="right"/>
    </xf>
    <xf numFmtId="0" fontId="10" fillId="0" borderId="11" xfId="0" applyFont="1" applyBorder="1" applyAlignment="1">
      <alignment horizontal="center"/>
    </xf>
    <xf numFmtId="0" fontId="10" fillId="0" borderId="0" xfId="0" applyFont="1" applyBorder="1" applyAlignment="1"/>
    <xf numFmtId="0" fontId="9" fillId="24" borderId="0" xfId="0" applyFont="1" applyFill="1"/>
    <xf numFmtId="165" fontId="9" fillId="0" borderId="0" xfId="0" applyNumberFormat="1" applyFont="1"/>
    <xf numFmtId="0" fontId="9" fillId="0" borderId="0" xfId="0" applyFont="1" applyFill="1" applyAlignment="1">
      <alignment wrapText="1"/>
    </xf>
    <xf numFmtId="0" fontId="33" fillId="0" borderId="0" xfId="0" applyFont="1"/>
    <xf numFmtId="0" fontId="40" fillId="0" borderId="0" xfId="0" applyFont="1"/>
    <xf numFmtId="3" fontId="9" fillId="0" borderId="12" xfId="0" applyNumberFormat="1" applyFont="1" applyFill="1" applyBorder="1" applyAlignment="1">
      <alignment horizontal="center"/>
    </xf>
    <xf numFmtId="165" fontId="40" fillId="0" borderId="0" xfId="0" applyNumberFormat="1" applyFont="1" applyAlignment="1">
      <alignment horizontal="center"/>
    </xf>
    <xf numFmtId="0" fontId="10" fillId="0" borderId="12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24" borderId="0" xfId="0" applyFont="1" applyFill="1" applyAlignment="1">
      <alignment wrapText="1"/>
    </xf>
    <xf numFmtId="0" fontId="10" fillId="0" borderId="12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10" fillId="0" borderId="10" xfId="0" applyFont="1" applyBorder="1" applyAlignment="1">
      <alignment horizontal="center" vertical="center"/>
    </xf>
    <xf numFmtId="3" fontId="40" fillId="0" borderId="0" xfId="0" applyNumberFormat="1" applyFont="1"/>
    <xf numFmtId="165" fontId="9" fillId="0" borderId="0" xfId="0" quotePrefix="1" applyNumberFormat="1" applyFont="1" applyAlignment="1">
      <alignment horizontal="center"/>
    </xf>
    <xf numFmtId="165" fontId="46" fillId="0" borderId="0" xfId="0" applyNumberFormat="1" applyFont="1" applyAlignment="1">
      <alignment horizontal="center"/>
    </xf>
    <xf numFmtId="0" fontId="40" fillId="0" borderId="0" xfId="0" applyFont="1" applyFill="1" applyAlignment="1">
      <alignment horizontal="center" wrapText="1"/>
    </xf>
    <xf numFmtId="0" fontId="40" fillId="0" borderId="0" xfId="0" applyFont="1" applyFill="1" applyAlignment="1">
      <alignment horizontal="center"/>
    </xf>
    <xf numFmtId="165" fontId="40" fillId="0" borderId="0" xfId="0" applyNumberFormat="1" applyFont="1" applyFill="1" applyAlignment="1">
      <alignment horizontal="center"/>
    </xf>
    <xf numFmtId="0" fontId="10" fillId="0" borderId="12" xfId="0" applyFont="1" applyBorder="1" applyAlignment="1">
      <alignment horizontal="center"/>
    </xf>
    <xf numFmtId="165" fontId="9" fillId="0" borderId="0" xfId="0" applyNumberFormat="1" applyFont="1" applyBorder="1" applyAlignment="1">
      <alignment horizontal="center"/>
    </xf>
    <xf numFmtId="0" fontId="47" fillId="0" borderId="0" xfId="0" applyFont="1"/>
    <xf numFmtId="0" fontId="37" fillId="24" borderId="0" xfId="0" applyFont="1" applyFill="1"/>
    <xf numFmtId="0" fontId="45" fillId="24" borderId="0" xfId="0" applyFont="1" applyFill="1"/>
    <xf numFmtId="2" fontId="9" fillId="0" borderId="0" xfId="0" applyNumberFormat="1" applyFont="1"/>
    <xf numFmtId="0" fontId="9" fillId="0" borderId="0" xfId="0" applyFont="1" applyFill="1" applyAlignment="1">
      <alignment horizontal="right"/>
    </xf>
    <xf numFmtId="165" fontId="9" fillId="0" borderId="0" xfId="0" applyNumberFormat="1" applyFont="1" applyFill="1" applyAlignment="1">
      <alignment horizontal="right"/>
    </xf>
    <xf numFmtId="0" fontId="9" fillId="0" borderId="0" xfId="0" quotePrefix="1" applyFont="1" applyFill="1" applyAlignment="1">
      <alignment horizontal="right"/>
    </xf>
    <xf numFmtId="0" fontId="0" fillId="0" borderId="0" xfId="0" applyFill="1" applyAlignment="1">
      <alignment horizontal="right"/>
    </xf>
    <xf numFmtId="0" fontId="9" fillId="24" borderId="0" xfId="0" quotePrefix="1" applyFont="1" applyFill="1" applyAlignment="1">
      <alignment horizontal="right"/>
    </xf>
    <xf numFmtId="165" fontId="9" fillId="24" borderId="0" xfId="0" applyNumberFormat="1" applyFont="1" applyFill="1" applyAlignment="1">
      <alignment horizontal="right"/>
    </xf>
    <xf numFmtId="0" fontId="46" fillId="0" borderId="0" xfId="0" applyFont="1" applyFill="1"/>
    <xf numFmtId="0" fontId="10" fillId="0" borderId="12" xfId="0" applyFont="1" applyFill="1" applyBorder="1" applyAlignment="1">
      <alignment horizontal="center"/>
    </xf>
    <xf numFmtId="0" fontId="9" fillId="0" borderId="0" xfId="0" applyFont="1" applyFill="1" applyAlignment="1">
      <alignment horizontal="center"/>
    </xf>
    <xf numFmtId="165" fontId="9" fillId="0" borderId="12" xfId="0" applyNumberFormat="1" applyFont="1" applyFill="1" applyBorder="1" applyAlignment="1">
      <alignment horizontal="center"/>
    </xf>
    <xf numFmtId="0" fontId="9" fillId="0" borderId="12" xfId="0" quotePrefix="1" applyFont="1" applyFill="1" applyBorder="1" applyAlignment="1">
      <alignment horizontal="center"/>
    </xf>
    <xf numFmtId="165" fontId="9" fillId="0" borderId="12" xfId="0" quotePrefix="1" applyNumberFormat="1" applyFont="1" applyFill="1" applyBorder="1" applyAlignment="1">
      <alignment horizontal="center"/>
    </xf>
    <xf numFmtId="0" fontId="0" fillId="0" borderId="0" xfId="0" applyFont="1" applyFill="1" applyAlignment="1">
      <alignment horizontal="right"/>
    </xf>
    <xf numFmtId="0" fontId="9" fillId="0" borderId="0" xfId="0" applyFont="1" applyFill="1" applyAlignment="1">
      <alignment horizontal="center" wrapText="1"/>
    </xf>
    <xf numFmtId="165" fontId="9" fillId="0" borderId="0" xfId="0" applyNumberFormat="1" applyFont="1" applyFill="1" applyAlignment="1">
      <alignment horizontal="center"/>
    </xf>
    <xf numFmtId="2" fontId="9" fillId="0" borderId="0" xfId="0" applyNumberFormat="1" applyFont="1" applyFill="1" applyAlignment="1">
      <alignment horizontal="center"/>
    </xf>
    <xf numFmtId="166" fontId="9" fillId="0" borderId="0" xfId="0" applyNumberFormat="1" applyFont="1" applyFill="1" applyAlignment="1">
      <alignment horizontal="center"/>
    </xf>
    <xf numFmtId="0" fontId="9" fillId="0" borderId="0" xfId="0" applyNumberFormat="1" applyFont="1" applyFill="1" applyAlignment="1">
      <alignment horizontal="right"/>
    </xf>
    <xf numFmtId="0" fontId="9" fillId="24" borderId="0" xfId="0" applyNumberFormat="1" applyFont="1" applyFill="1" applyAlignment="1">
      <alignment horizontal="right"/>
    </xf>
    <xf numFmtId="0" fontId="48" fillId="0" borderId="0" xfId="0" applyFont="1" applyFill="1" applyAlignment="1">
      <alignment horizontal="center" wrapText="1"/>
    </xf>
    <xf numFmtId="0" fontId="40" fillId="0" borderId="0" xfId="0" applyFont="1" applyFill="1" applyAlignment="1">
      <alignment horizontal="right"/>
    </xf>
    <xf numFmtId="165" fontId="40" fillId="0" borderId="0" xfId="0" applyNumberFormat="1" applyFont="1" applyFill="1" applyAlignment="1">
      <alignment horizontal="right"/>
    </xf>
    <xf numFmtId="0" fontId="48" fillId="0" borderId="0" xfId="0" applyFont="1" applyFill="1" applyAlignment="1">
      <alignment horizontal="right"/>
    </xf>
    <xf numFmtId="165" fontId="40" fillId="0" borderId="0" xfId="0" quotePrefix="1" applyNumberFormat="1" applyFont="1" applyFill="1" applyAlignment="1">
      <alignment horizontal="center"/>
    </xf>
    <xf numFmtId="0" fontId="9" fillId="24" borderId="0" xfId="0" quotePrefix="1" applyNumberFormat="1" applyFont="1" applyFill="1" applyAlignment="1">
      <alignment horizontal="right"/>
    </xf>
    <xf numFmtId="165" fontId="9" fillId="29" borderId="12" xfId="0" applyNumberFormat="1" applyFont="1" applyFill="1" applyBorder="1" applyAlignment="1">
      <alignment horizontal="center"/>
    </xf>
    <xf numFmtId="0" fontId="9" fillId="29" borderId="12" xfId="0" quotePrefix="1" applyFont="1" applyFill="1" applyBorder="1" applyAlignment="1">
      <alignment horizontal="center"/>
    </xf>
    <xf numFmtId="165" fontId="9" fillId="29" borderId="12" xfId="0" quotePrefix="1" applyNumberFormat="1" applyFont="1" applyFill="1" applyBorder="1" applyAlignment="1">
      <alignment horizontal="center"/>
    </xf>
    <xf numFmtId="165" fontId="9" fillId="0" borderId="10" xfId="0" applyNumberFormat="1" applyFont="1" applyFill="1" applyBorder="1" applyAlignment="1">
      <alignment horizontal="center" vertical="center"/>
    </xf>
    <xf numFmtId="2" fontId="9" fillId="0" borderId="0" xfId="0" applyNumberFormat="1" applyFont="1" applyFill="1" applyAlignment="1">
      <alignment horizontal="right"/>
    </xf>
    <xf numFmtId="2" fontId="9" fillId="24" borderId="0" xfId="0" applyNumberFormat="1" applyFont="1" applyFill="1" applyAlignment="1">
      <alignment horizontal="right"/>
    </xf>
    <xf numFmtId="165" fontId="9" fillId="0" borderId="15" xfId="0" applyNumberFormat="1" applyFont="1" applyFill="1" applyBorder="1" applyAlignment="1">
      <alignment horizontal="center"/>
    </xf>
    <xf numFmtId="165" fontId="9" fillId="0" borderId="15" xfId="0" applyNumberFormat="1" applyFont="1" applyFill="1" applyBorder="1" applyAlignment="1">
      <alignment horizontal="center"/>
    </xf>
    <xf numFmtId="165" fontId="9" fillId="0" borderId="0" xfId="0" applyNumberFormat="1" applyFont="1" applyFill="1"/>
    <xf numFmtId="165" fontId="9" fillId="0" borderId="0" xfId="0" quotePrefix="1" applyNumberFormat="1" applyFont="1" applyFill="1" applyAlignment="1">
      <alignment horizontal="right"/>
    </xf>
    <xf numFmtId="0" fontId="9" fillId="24" borderId="0" xfId="0" applyFont="1" applyFill="1" applyAlignment="1">
      <alignment horizontal="right"/>
    </xf>
    <xf numFmtId="165" fontId="9" fillId="24" borderId="0" xfId="0" applyNumberFormat="1" applyFont="1" applyFill="1"/>
    <xf numFmtId="165" fontId="9" fillId="24" borderId="0" xfId="0" quotePrefix="1" applyNumberFormat="1" applyFont="1" applyFill="1" applyAlignment="1">
      <alignment horizontal="right"/>
    </xf>
    <xf numFmtId="2" fontId="9" fillId="24" borderId="0" xfId="0" quotePrefix="1" applyNumberFormat="1" applyFont="1" applyFill="1" applyAlignment="1">
      <alignment horizontal="right"/>
    </xf>
    <xf numFmtId="0" fontId="9" fillId="0" borderId="12" xfId="0" applyFont="1" applyBorder="1" applyAlignment="1">
      <alignment horizontal="center"/>
    </xf>
    <xf numFmtId="0" fontId="45" fillId="0" borderId="0" xfId="0" applyFont="1" applyFill="1" applyAlignment="1">
      <alignment horizontal="right"/>
    </xf>
    <xf numFmtId="0" fontId="9" fillId="0" borderId="12" xfId="0" applyFont="1" applyBorder="1" applyAlignment="1">
      <alignment horizontal="center"/>
    </xf>
    <xf numFmtId="0" fontId="10" fillId="0" borderId="14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165" fontId="9" fillId="0" borderId="14" xfId="0" applyNumberFormat="1" applyFont="1" applyBorder="1" applyAlignment="1">
      <alignment horizontal="center"/>
    </xf>
    <xf numFmtId="165" fontId="9" fillId="0" borderId="15" xfId="0" applyNumberFormat="1" applyFont="1" applyBorder="1" applyAlignment="1">
      <alignment horizontal="center"/>
    </xf>
    <xf numFmtId="2" fontId="9" fillId="0" borderId="17" xfId="0" applyNumberFormat="1" applyFont="1" applyFill="1" applyBorder="1" applyAlignment="1">
      <alignment horizontal="center" vertical="center"/>
    </xf>
    <xf numFmtId="2" fontId="9" fillId="0" borderId="16" xfId="0" applyNumberFormat="1" applyFont="1" applyFill="1" applyBorder="1" applyAlignment="1">
      <alignment horizontal="center" vertical="center"/>
    </xf>
    <xf numFmtId="2" fontId="9" fillId="0" borderId="13" xfId="0" applyNumberFormat="1" applyFont="1" applyFill="1" applyBorder="1" applyAlignment="1">
      <alignment horizontal="center" vertical="center"/>
    </xf>
    <xf numFmtId="2" fontId="9" fillId="0" borderId="18" xfId="0" applyNumberFormat="1" applyFont="1" applyFill="1" applyBorder="1" applyAlignment="1">
      <alignment horizontal="center" vertical="center"/>
    </xf>
    <xf numFmtId="165" fontId="9" fillId="0" borderId="14" xfId="0" applyNumberFormat="1" applyFont="1" applyFill="1" applyBorder="1" applyAlignment="1">
      <alignment horizontal="center"/>
    </xf>
    <xf numFmtId="165" fontId="9" fillId="0" borderId="15" xfId="0" applyNumberFormat="1" applyFont="1" applyFill="1" applyBorder="1" applyAlignment="1">
      <alignment horizontal="center"/>
    </xf>
    <xf numFmtId="0" fontId="10" fillId="0" borderId="12" xfId="0" applyFont="1" applyFill="1" applyBorder="1" applyAlignment="1">
      <alignment horizontal="center"/>
    </xf>
    <xf numFmtId="2" fontId="9" fillId="0" borderId="10" xfId="0" applyNumberFormat="1" applyFont="1" applyFill="1" applyBorder="1" applyAlignment="1">
      <alignment horizontal="center" vertical="center"/>
    </xf>
    <xf numFmtId="2" fontId="9" fillId="0" borderId="11" xfId="0" applyNumberFormat="1" applyFont="1" applyFill="1" applyBorder="1" applyAlignment="1">
      <alignment horizontal="center" vertical="center"/>
    </xf>
    <xf numFmtId="0" fontId="44" fillId="26" borderId="0" xfId="0" quotePrefix="1" applyFont="1" applyFill="1" applyAlignment="1">
      <alignment horizontal="center" vertical="center"/>
    </xf>
    <xf numFmtId="0" fontId="44" fillId="26" borderId="0" xfId="0" applyFont="1" applyFill="1" applyAlignment="1">
      <alignment horizontal="center" vertical="center"/>
    </xf>
    <xf numFmtId="0" fontId="44" fillId="27" borderId="0" xfId="0" quotePrefix="1" applyFont="1" applyFill="1" applyAlignment="1">
      <alignment horizontal="center" vertical="center"/>
    </xf>
    <xf numFmtId="0" fontId="44" fillId="27" borderId="0" xfId="0" applyFont="1" applyFill="1" applyAlignment="1">
      <alignment horizontal="center" vertical="center"/>
    </xf>
    <xf numFmtId="0" fontId="44" fillId="28" borderId="0" xfId="0" quotePrefix="1" applyFont="1" applyFill="1" applyAlignment="1">
      <alignment horizontal="center" vertical="center"/>
    </xf>
    <xf numFmtId="0" fontId="44" fillId="28" borderId="0" xfId="0" applyFont="1" applyFill="1" applyAlignment="1">
      <alignment horizontal="center" vertical="center"/>
    </xf>
    <xf numFmtId="0" fontId="38" fillId="0" borderId="0" xfId="0" applyFont="1" applyAlignment="1">
      <alignment horizontal="center"/>
    </xf>
    <xf numFmtId="0" fontId="10" fillId="0" borderId="14" xfId="0" applyFont="1" applyFill="1" applyBorder="1" applyAlignment="1">
      <alignment horizontal="center"/>
    </xf>
    <xf numFmtId="0" fontId="10" fillId="0" borderId="15" xfId="0" applyFont="1" applyFill="1" applyBorder="1" applyAlignment="1">
      <alignment horizontal="center"/>
    </xf>
    <xf numFmtId="3" fontId="9" fillId="0" borderId="14" xfId="0" applyNumberFormat="1" applyFont="1" applyFill="1" applyBorder="1" applyAlignment="1">
      <alignment horizontal="center"/>
    </xf>
    <xf numFmtId="3" fontId="9" fillId="0" borderId="15" xfId="0" applyNumberFormat="1" applyFont="1" applyFill="1" applyBorder="1" applyAlignment="1">
      <alignment horizontal="center"/>
    </xf>
    <xf numFmtId="165" fontId="9" fillId="0" borderId="12" xfId="0" applyNumberFormat="1" applyFont="1" applyBorder="1" applyAlignment="1">
      <alignment horizontal="center"/>
    </xf>
    <xf numFmtId="0" fontId="9" fillId="0" borderId="12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/>
    </xf>
    <xf numFmtId="0" fontId="9" fillId="0" borderId="10" xfId="0" applyFont="1" applyFill="1" applyBorder="1" applyAlignment="1">
      <alignment horizontal="center" vertical="center"/>
    </xf>
  </cellXfs>
  <cellStyles count="72">
    <cellStyle name="20 % - Accent1 2" xfId="1"/>
    <cellStyle name="20 % - Accent2 2" xfId="2"/>
    <cellStyle name="20 % - Accent3 2" xfId="3"/>
    <cellStyle name="20 % - Accent4 2" xfId="4"/>
    <cellStyle name="20 % - Accent5 2" xfId="5"/>
    <cellStyle name="20 % - Accent6 2" xfId="6"/>
    <cellStyle name="40 % - Accent1 2" xfId="7"/>
    <cellStyle name="40 % - Accent2 2" xfId="8"/>
    <cellStyle name="40 % - Accent3 2" xfId="9"/>
    <cellStyle name="40 % - Accent4 2" xfId="10"/>
    <cellStyle name="40 % - Accent5 2" xfId="11"/>
    <cellStyle name="40 % - Accent6 2" xfId="12"/>
    <cellStyle name="60 % - Accent1 2" xfId="13"/>
    <cellStyle name="60 % - Accent2 2" xfId="14"/>
    <cellStyle name="60 % - Accent3 2" xfId="15"/>
    <cellStyle name="60 % - Accent4 2" xfId="16"/>
    <cellStyle name="60 % - Accent5 2" xfId="17"/>
    <cellStyle name="60 % - Accent6 2" xfId="18"/>
    <cellStyle name="Accent1 2" xfId="19"/>
    <cellStyle name="Accent2 2" xfId="20"/>
    <cellStyle name="Accent3 2" xfId="21"/>
    <cellStyle name="Accent4 2" xfId="22"/>
    <cellStyle name="Accent5 2" xfId="23"/>
    <cellStyle name="Accent6 2" xfId="24"/>
    <cellStyle name="Avertissement 2" xfId="25"/>
    <cellStyle name="Calcul 2" xfId="26"/>
    <cellStyle name="Cellule liée 2" xfId="27"/>
    <cellStyle name="Commentaire 2" xfId="28"/>
    <cellStyle name="Entrée 2" xfId="29"/>
    <cellStyle name="Insatisfaisant 2" xfId="30"/>
    <cellStyle name="Lien hypertexte" xfId="65" builtinId="8"/>
    <cellStyle name="Milliers 2" xfId="50"/>
    <cellStyle name="Milliers 3" xfId="70"/>
    <cellStyle name="Monétaire 2" xfId="43"/>
    <cellStyle name="Neutre 2" xfId="31"/>
    <cellStyle name="Normal" xfId="0" builtinId="0"/>
    <cellStyle name="Normal 10" xfId="55"/>
    <cellStyle name="Normal 11" xfId="56"/>
    <cellStyle name="Normal 11 2" xfId="57"/>
    <cellStyle name="Normal 12" xfId="58"/>
    <cellStyle name="Normal 13" xfId="60"/>
    <cellStyle name="Normal 14" xfId="61"/>
    <cellStyle name="Normal 14 2" xfId="64"/>
    <cellStyle name="Normal 15" xfId="62"/>
    <cellStyle name="Normal 16" xfId="63"/>
    <cellStyle name="Normal 17" xfId="66"/>
    <cellStyle name="Normal 18" xfId="69"/>
    <cellStyle name="Normal 2" xfId="32"/>
    <cellStyle name="Normal 2 2" xfId="48"/>
    <cellStyle name="Normal 2 3" xfId="68"/>
    <cellStyle name="Normal 3" xfId="44"/>
    <cellStyle name="Normal 3 2" xfId="67"/>
    <cellStyle name="Normal 4" xfId="45"/>
    <cellStyle name="Normal 5" xfId="46"/>
    <cellStyle name="Normal 6" xfId="49"/>
    <cellStyle name="Normal 7" xfId="51"/>
    <cellStyle name="Normal 8" xfId="52"/>
    <cellStyle name="Normal 9" xfId="53"/>
    <cellStyle name="Normal 9 2" xfId="54"/>
    <cellStyle name="Pourcentage 2" xfId="47"/>
    <cellStyle name="Pourcentage 3" xfId="59"/>
    <cellStyle name="Pourcentage 4" xfId="71"/>
    <cellStyle name="Satisfaisant 2" xfId="33"/>
    <cellStyle name="Sortie 2" xfId="34"/>
    <cellStyle name="Texte explicatif 2" xfId="35"/>
    <cellStyle name="Titre 2" xfId="36"/>
    <cellStyle name="Titre 1 2" xfId="37"/>
    <cellStyle name="Titre 2 2" xfId="38"/>
    <cellStyle name="Titre 3 2" xfId="39"/>
    <cellStyle name="Titre 4 2" xfId="40"/>
    <cellStyle name="Total 2" xfId="41"/>
    <cellStyle name="Vérification 2" xfId="4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Evolution des effectifs de niveau lycée GT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'Fiche GT'!$C$27:$F$27</c:f>
              <c:numCache>
                <c:formatCode>General</c:formatCode>
                <c:ptCount val="4"/>
                <c:pt idx="0">
                  <c:v>2012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</c:numCache>
            </c:numRef>
          </c:cat>
          <c:val>
            <c:numRef>
              <c:f>'Fiche GT'!$C$28:$F$28</c:f>
              <c:numCache>
                <c:formatCode>#,##0</c:formatCode>
                <c:ptCount val="4"/>
                <c:pt idx="0">
                  <c:v>1464</c:v>
                </c:pt>
                <c:pt idx="1">
                  <c:v>1160</c:v>
                </c:pt>
                <c:pt idx="2">
                  <c:v>1094</c:v>
                </c:pt>
                <c:pt idx="3">
                  <c:v>1112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48-4BC0-AF95-0B46D13CA0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7775616"/>
        <c:axId val="299902080"/>
      </c:barChart>
      <c:catAx>
        <c:axId val="137775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99902080"/>
        <c:crosses val="autoZero"/>
        <c:auto val="1"/>
        <c:lblAlgn val="ctr"/>
        <c:lblOffset val="100"/>
        <c:noMultiLvlLbl val="0"/>
      </c:catAx>
      <c:valAx>
        <c:axId val="2999020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77756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  <c:userShapes r:id="rId3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0284057971014494E-2"/>
          <c:y val="0.24444444444444444"/>
          <c:w val="0.94262604131005368"/>
          <c:h val="0.2400384951881015"/>
        </c:manualLayout>
      </c:layout>
      <c:scatterChart>
        <c:scatterStyle val="lineMarker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Pt>
            <c:idx val="0"/>
            <c:marker>
              <c:symbol val="plus"/>
              <c:size val="5"/>
              <c:spPr>
                <a:noFill/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0DE7-4820-9084-98EF055F1BDB}"/>
              </c:ext>
            </c:extLst>
          </c:dPt>
          <c:dPt>
            <c:idx val="1"/>
            <c:marker>
              <c:symbol val="triangle"/>
              <c:size val="16"/>
              <c:spPr>
                <a:solidFill>
                  <a:schemeClr val="tx1"/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0DE7-4820-9084-98EF055F1BDB}"/>
              </c:ext>
            </c:extLst>
          </c:dPt>
          <c:dPt>
            <c:idx val="2"/>
            <c:marker>
              <c:symbol val="plus"/>
              <c:size val="5"/>
              <c:spPr>
                <a:noFill/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2-0DE7-4820-9084-98EF055F1BDB}"/>
              </c:ext>
            </c:extLst>
          </c:dPt>
          <c:xVal>
            <c:numRef>
              <c:f>'Fiche PRO'!$J$67:$L$67</c:f>
            </c:numRef>
          </c:xVal>
          <c:yVal>
            <c:numRef>
              <c:f>'Fiche PRO'!$J$68:$L$68</c:f>
            </c:numRef>
          </c:yVal>
          <c:smooth val="0"/>
          <c:extLst>
            <c:ext xmlns:c16="http://schemas.microsoft.com/office/drawing/2014/chart" uri="{C3380CC4-5D6E-409C-BE32-E72D297353CC}">
              <c16:uniqueId val="{00000003-0DE7-4820-9084-98EF055F1B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0104768"/>
        <c:axId val="140105344"/>
      </c:scatterChart>
      <c:valAx>
        <c:axId val="140104768"/>
        <c:scaling>
          <c:orientation val="minMax"/>
          <c:max val="0"/>
          <c:min val="-6.64"/>
        </c:scaling>
        <c:delete val="1"/>
        <c:axPos val="b"/>
        <c:numFmt formatCode="0" sourceLinked="0"/>
        <c:majorTickMark val="out"/>
        <c:minorTickMark val="none"/>
        <c:tickLblPos val="nextTo"/>
        <c:crossAx val="140105344"/>
        <c:crosses val="autoZero"/>
        <c:crossBetween val="midCat"/>
        <c:majorUnit val="0.2"/>
        <c:minorUnit val="0.1"/>
      </c:valAx>
      <c:valAx>
        <c:axId val="140105344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out"/>
        <c:minorTickMark val="none"/>
        <c:tickLblPos val="nextTo"/>
        <c:crossAx val="14010476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0284057971014494E-2"/>
          <c:y val="0.24444444444444444"/>
          <c:w val="0.94262604131005368"/>
          <c:h val="0.2400384951881015"/>
        </c:manualLayout>
      </c:layout>
      <c:scatterChart>
        <c:scatterStyle val="lineMarker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Pt>
            <c:idx val="0"/>
            <c:marker>
              <c:symbol val="plus"/>
              <c:size val="5"/>
              <c:spPr>
                <a:noFill/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8632-4E8A-A611-AAB09612A02B}"/>
              </c:ext>
            </c:extLst>
          </c:dPt>
          <c:dPt>
            <c:idx val="1"/>
            <c:marker>
              <c:symbol val="triangle"/>
              <c:size val="16"/>
              <c:spPr>
                <a:solidFill>
                  <a:schemeClr val="tx1"/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8632-4E8A-A611-AAB09612A02B}"/>
              </c:ext>
            </c:extLst>
          </c:dPt>
          <c:dPt>
            <c:idx val="2"/>
            <c:marker>
              <c:symbol val="plus"/>
              <c:size val="5"/>
              <c:spPr>
                <a:noFill/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2-8632-4E8A-A611-AAB09612A02B}"/>
              </c:ext>
            </c:extLst>
          </c:dPt>
          <c:xVal>
            <c:numRef>
              <c:f>'Fiche PRO'!$J$67:$L$67</c:f>
            </c:numRef>
          </c:xVal>
          <c:yVal>
            <c:numRef>
              <c:f>'Fiche PRO'!$J$68:$L$68</c:f>
            </c:numRef>
          </c:yVal>
          <c:smooth val="0"/>
          <c:extLst>
            <c:ext xmlns:c16="http://schemas.microsoft.com/office/drawing/2014/chart" uri="{C3380CC4-5D6E-409C-BE32-E72D297353CC}">
              <c16:uniqueId val="{00000003-8632-4E8A-A611-AAB09612A0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0107072"/>
        <c:axId val="140353536"/>
      </c:scatterChart>
      <c:valAx>
        <c:axId val="140107072"/>
        <c:scaling>
          <c:orientation val="minMax"/>
          <c:max val="6.5"/>
          <c:min val="0"/>
        </c:scaling>
        <c:delete val="1"/>
        <c:axPos val="b"/>
        <c:numFmt formatCode="0" sourceLinked="0"/>
        <c:majorTickMark val="out"/>
        <c:minorTickMark val="none"/>
        <c:tickLblPos val="nextTo"/>
        <c:crossAx val="140353536"/>
        <c:crosses val="autoZero"/>
        <c:crossBetween val="midCat"/>
        <c:majorUnit val="0.2"/>
        <c:minorUnit val="0.1"/>
      </c:valAx>
      <c:valAx>
        <c:axId val="140353536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out"/>
        <c:minorTickMark val="none"/>
        <c:tickLblPos val="nextTo"/>
        <c:crossAx val="14010707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0284057971014494E-2"/>
          <c:y val="0.24444444444444444"/>
          <c:w val="0.94262604131005368"/>
          <c:h val="0.2400384951881015"/>
        </c:manualLayout>
      </c:layout>
      <c:scatterChart>
        <c:scatterStyle val="lineMarker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Pt>
            <c:idx val="0"/>
            <c:marker>
              <c:symbol val="plus"/>
              <c:size val="5"/>
              <c:spPr>
                <a:noFill/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BA6D-42DF-84D7-6914B3332CF0}"/>
              </c:ext>
            </c:extLst>
          </c:dPt>
          <c:dPt>
            <c:idx val="1"/>
            <c:marker>
              <c:symbol val="triangle"/>
              <c:size val="16"/>
              <c:spPr>
                <a:solidFill>
                  <a:schemeClr val="tx1"/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BA6D-42DF-84D7-6914B3332CF0}"/>
              </c:ext>
            </c:extLst>
          </c:dPt>
          <c:dPt>
            <c:idx val="2"/>
            <c:marker>
              <c:symbol val="plus"/>
              <c:size val="5"/>
              <c:spPr>
                <a:noFill/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2-BA6D-42DF-84D7-6914B3332CF0}"/>
              </c:ext>
            </c:extLst>
          </c:dPt>
          <c:xVal>
            <c:numRef>
              <c:f>'Fiche PRO'!$J$54:$L$54</c:f>
            </c:numRef>
          </c:xVal>
          <c:yVal>
            <c:numRef>
              <c:f>'Fiche PRO'!$J$55:$L$55</c:f>
            </c:numRef>
          </c:yVal>
          <c:smooth val="0"/>
          <c:extLst>
            <c:ext xmlns:c16="http://schemas.microsoft.com/office/drawing/2014/chart" uri="{C3380CC4-5D6E-409C-BE32-E72D297353CC}">
              <c16:uniqueId val="{00000003-BA6D-42DF-84D7-6914B3332C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0355264"/>
        <c:axId val="140355840"/>
      </c:scatterChart>
      <c:valAx>
        <c:axId val="140355264"/>
        <c:scaling>
          <c:orientation val="minMax"/>
          <c:max val="6.5"/>
          <c:min val="0"/>
        </c:scaling>
        <c:delete val="1"/>
        <c:axPos val="b"/>
        <c:numFmt formatCode="0" sourceLinked="0"/>
        <c:majorTickMark val="out"/>
        <c:minorTickMark val="none"/>
        <c:tickLblPos val="nextTo"/>
        <c:crossAx val="140355840"/>
        <c:crosses val="autoZero"/>
        <c:crossBetween val="midCat"/>
        <c:majorUnit val="0.2"/>
        <c:minorUnit val="0.1"/>
      </c:valAx>
      <c:valAx>
        <c:axId val="140355840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out"/>
        <c:minorTickMark val="none"/>
        <c:tickLblPos val="nextTo"/>
        <c:crossAx val="14035526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0284057971014494E-2"/>
          <c:y val="0.24444444444444444"/>
          <c:w val="0.94262604131005368"/>
          <c:h val="0.2400384951881015"/>
        </c:manualLayout>
      </c:layout>
      <c:scatterChart>
        <c:scatterStyle val="lineMarker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Pt>
            <c:idx val="0"/>
            <c:marker>
              <c:symbol val="plus"/>
              <c:size val="5"/>
              <c:spPr>
                <a:noFill/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36E1-45F9-A5C3-AAB2BCB302DB}"/>
              </c:ext>
            </c:extLst>
          </c:dPt>
          <c:dPt>
            <c:idx val="1"/>
            <c:marker>
              <c:symbol val="triangle"/>
              <c:size val="16"/>
              <c:spPr>
                <a:solidFill>
                  <a:schemeClr val="tx1"/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36E1-45F9-A5C3-AAB2BCB302DB}"/>
              </c:ext>
            </c:extLst>
          </c:dPt>
          <c:dPt>
            <c:idx val="2"/>
            <c:marker>
              <c:symbol val="plus"/>
              <c:size val="5"/>
              <c:spPr>
                <a:noFill/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2-36E1-45F9-A5C3-AAB2BCB302DB}"/>
              </c:ext>
            </c:extLst>
          </c:dPt>
          <c:xVal>
            <c:numRef>
              <c:f>'Fiche PRO'!$J$54:$L$54</c:f>
            </c:numRef>
          </c:xVal>
          <c:yVal>
            <c:numRef>
              <c:f>'Fiche PRO'!$J$55:$L$55</c:f>
            </c:numRef>
          </c:yVal>
          <c:smooth val="0"/>
          <c:extLst>
            <c:ext xmlns:c16="http://schemas.microsoft.com/office/drawing/2014/chart" uri="{C3380CC4-5D6E-409C-BE32-E72D297353CC}">
              <c16:uniqueId val="{00000003-36E1-45F9-A5C3-AAB2BCB302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0357568"/>
        <c:axId val="140358144"/>
      </c:scatterChart>
      <c:valAx>
        <c:axId val="140357568"/>
        <c:scaling>
          <c:orientation val="minMax"/>
          <c:max val="0"/>
          <c:min val="-6.64"/>
        </c:scaling>
        <c:delete val="1"/>
        <c:axPos val="b"/>
        <c:numFmt formatCode="0" sourceLinked="0"/>
        <c:majorTickMark val="out"/>
        <c:minorTickMark val="none"/>
        <c:tickLblPos val="nextTo"/>
        <c:crossAx val="140358144"/>
        <c:crosses val="autoZero"/>
        <c:crossBetween val="midCat"/>
        <c:majorUnit val="0.2"/>
        <c:minorUnit val="0.1"/>
      </c:valAx>
      <c:valAx>
        <c:axId val="140358144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out"/>
        <c:minorTickMark val="none"/>
        <c:tickLblPos val="nextTo"/>
        <c:crossAx val="14035756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0284057971014494E-2"/>
          <c:y val="0.24444444444444444"/>
          <c:w val="0.94262604131005368"/>
          <c:h val="0.2400384951881015"/>
        </c:manualLayout>
      </c:layout>
      <c:scatterChart>
        <c:scatterStyle val="lineMarker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Pt>
            <c:idx val="0"/>
            <c:marker>
              <c:symbol val="plus"/>
              <c:size val="5"/>
              <c:spPr>
                <a:noFill/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96FE-4A73-AAE4-88B1FD254FB0}"/>
              </c:ext>
            </c:extLst>
          </c:dPt>
          <c:dPt>
            <c:idx val="1"/>
            <c:marker>
              <c:symbol val="triangle"/>
              <c:size val="16"/>
              <c:spPr>
                <a:solidFill>
                  <a:schemeClr val="tx1"/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96FE-4A73-AAE4-88B1FD254FB0}"/>
              </c:ext>
            </c:extLst>
          </c:dPt>
          <c:dPt>
            <c:idx val="2"/>
            <c:marker>
              <c:symbol val="plus"/>
              <c:size val="5"/>
              <c:spPr>
                <a:noFill/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2-96FE-4A73-AAE4-88B1FD254FB0}"/>
              </c:ext>
            </c:extLst>
          </c:dPt>
          <c:xVal>
            <c:numRef>
              <c:f>'Fiche PRO'!$J$98:$L$98</c:f>
            </c:numRef>
          </c:xVal>
          <c:yVal>
            <c:numRef>
              <c:f>'Fiche PRO'!$J$99:$L$99</c:f>
            </c:numRef>
          </c:yVal>
          <c:smooth val="0"/>
          <c:extLst>
            <c:ext xmlns:c16="http://schemas.microsoft.com/office/drawing/2014/chart" uri="{C3380CC4-5D6E-409C-BE32-E72D297353CC}">
              <c16:uniqueId val="{00000003-96FE-4A73-AAE4-88B1FD254F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0359872"/>
        <c:axId val="140360448"/>
      </c:scatterChart>
      <c:valAx>
        <c:axId val="140359872"/>
        <c:scaling>
          <c:orientation val="minMax"/>
          <c:max val="0"/>
          <c:min val="-6.64"/>
        </c:scaling>
        <c:delete val="1"/>
        <c:axPos val="b"/>
        <c:numFmt formatCode="0" sourceLinked="0"/>
        <c:majorTickMark val="out"/>
        <c:minorTickMark val="none"/>
        <c:tickLblPos val="nextTo"/>
        <c:crossAx val="140360448"/>
        <c:crosses val="autoZero"/>
        <c:crossBetween val="midCat"/>
        <c:majorUnit val="0.2"/>
        <c:minorUnit val="0.1"/>
      </c:valAx>
      <c:valAx>
        <c:axId val="140360448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out"/>
        <c:minorTickMark val="none"/>
        <c:tickLblPos val="nextTo"/>
        <c:crossAx val="14035987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0284057971014494E-2"/>
          <c:y val="0.24444444444444444"/>
          <c:w val="0.94262604131005368"/>
          <c:h val="0.2400384951881015"/>
        </c:manualLayout>
      </c:layout>
      <c:scatterChart>
        <c:scatterStyle val="lineMarker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Pt>
            <c:idx val="0"/>
            <c:marker>
              <c:symbol val="plus"/>
              <c:size val="5"/>
              <c:spPr>
                <a:noFill/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6A47-46ED-8C27-9550FD6A6233}"/>
              </c:ext>
            </c:extLst>
          </c:dPt>
          <c:dPt>
            <c:idx val="1"/>
            <c:marker>
              <c:symbol val="triangle"/>
              <c:size val="16"/>
              <c:spPr>
                <a:solidFill>
                  <a:schemeClr val="tx1"/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6A47-46ED-8C27-9550FD6A6233}"/>
              </c:ext>
            </c:extLst>
          </c:dPt>
          <c:dPt>
            <c:idx val="2"/>
            <c:marker>
              <c:symbol val="plus"/>
              <c:size val="5"/>
              <c:spPr>
                <a:noFill/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2-6A47-46ED-8C27-9550FD6A6233}"/>
              </c:ext>
            </c:extLst>
          </c:dPt>
          <c:xVal>
            <c:numRef>
              <c:f>'Fiche PRO'!$J$98:$L$98</c:f>
            </c:numRef>
          </c:xVal>
          <c:yVal>
            <c:numRef>
              <c:f>'Fiche PRO'!$J$99:$L$99</c:f>
            </c:numRef>
          </c:yVal>
          <c:smooth val="0"/>
          <c:extLst>
            <c:ext xmlns:c16="http://schemas.microsoft.com/office/drawing/2014/chart" uri="{C3380CC4-5D6E-409C-BE32-E72D297353CC}">
              <c16:uniqueId val="{00000003-6A47-46ED-8C27-9550FD6A62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0845632"/>
        <c:axId val="140846208"/>
      </c:scatterChart>
      <c:valAx>
        <c:axId val="140845632"/>
        <c:scaling>
          <c:orientation val="minMax"/>
          <c:max val="6.5"/>
          <c:min val="0"/>
        </c:scaling>
        <c:delete val="1"/>
        <c:axPos val="b"/>
        <c:numFmt formatCode="0" sourceLinked="0"/>
        <c:majorTickMark val="out"/>
        <c:minorTickMark val="none"/>
        <c:tickLblPos val="nextTo"/>
        <c:crossAx val="140846208"/>
        <c:crosses val="autoZero"/>
        <c:crossBetween val="midCat"/>
        <c:majorUnit val="0.2"/>
        <c:minorUnit val="0.1"/>
      </c:valAx>
      <c:valAx>
        <c:axId val="140846208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out"/>
        <c:minorTickMark val="none"/>
        <c:tickLblPos val="nextTo"/>
        <c:crossAx val="14084563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9046844092296636"/>
          <c:y val="8.4242265925290244E-2"/>
          <c:w val="0.46708321689433918"/>
          <c:h val="0.78436922872792103"/>
        </c:manualLayout>
      </c:layout>
      <c:radarChart>
        <c:radarStyle val="marker"/>
        <c:varyColors val="0"/>
        <c:ser>
          <c:idx val="0"/>
          <c:order val="0"/>
          <c:tx>
            <c:strRef>
              <c:f>'Fiche PRO'!$B$1</c:f>
              <c:strCache>
                <c:ptCount val="1"/>
                <c:pt idx="0">
                  <c:v>9830006P : Lycee professionnel, commercial et hôtelier Auguste Escoffier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'Fiche PRO'!$K$115:$S$115</c:f>
              <c:strCache>
                <c:ptCount val="9"/>
                <c:pt idx="0">
                  <c:v>Indice d'éloignement*</c:v>
                </c:pt>
                <c:pt idx="1">
                  <c:v>Indice de position sociale</c:v>
                </c:pt>
                <c:pt idx="2">
                  <c:v>% élèves en retard en 2nde PRO*</c:v>
                </c:pt>
                <c:pt idx="3">
                  <c:v>H/E</c:v>
                </c:pt>
                <c:pt idx="4">
                  <c:v>E/D*</c:v>
                </c:pt>
                <c:pt idx="5">
                  <c:v>Taux de passage 2nde /1ère PRO</c:v>
                </c:pt>
                <c:pt idx="6">
                  <c:v>Taux de redoublement 2nde PRO*</c:v>
                </c:pt>
                <c:pt idx="7">
                  <c:v>Taux de réussite au bac PRO</c:v>
                </c:pt>
                <c:pt idx="8">
                  <c:v>% d'enseignants titulaires</c:v>
                </c:pt>
              </c:strCache>
            </c:strRef>
          </c:cat>
          <c:val>
            <c:numRef>
              <c:f>'Fiche PRO'!$K$116:$S$116</c:f>
              <c:numCache>
                <c:formatCode>0.0</c:formatCode>
                <c:ptCount val="9"/>
                <c:pt idx="0">
                  <c:v>5</c:v>
                </c:pt>
                <c:pt idx="1">
                  <c:v>-0.14545454545454237</c:v>
                </c:pt>
                <c:pt idx="2">
                  <c:v>1.125</c:v>
                </c:pt>
                <c:pt idx="3">
                  <c:v>-0.86956521739130521</c:v>
                </c:pt>
                <c:pt idx="4">
                  <c:v>-0.89041095890411015</c:v>
                </c:pt>
                <c:pt idx="5">
                  <c:v>-0.41284403669724384</c:v>
                </c:pt>
                <c:pt idx="6">
                  <c:v>0.24000000000000021</c:v>
                </c:pt>
                <c:pt idx="7">
                  <c:v>0.19323671497584469</c:v>
                </c:pt>
                <c:pt idx="8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20-44E2-A160-954C90C95B5E}"/>
            </c:ext>
          </c:extLst>
        </c:ser>
        <c:ser>
          <c:idx val="1"/>
          <c:order val="1"/>
          <c:tx>
            <c:strRef>
              <c:f>'Fiche PRO'!$J$117</c:f>
              <c:strCache>
                <c:ptCount val="1"/>
                <c:pt idx="0">
                  <c:v>Public + privé</c:v>
                </c:pt>
              </c:strCache>
            </c:strRef>
          </c:tx>
          <c:spPr>
            <a:ln w="25400">
              <a:solidFill>
                <a:srgbClr val="3333CC"/>
              </a:solidFill>
              <a:prstDash val="lgDash"/>
            </a:ln>
          </c:spPr>
          <c:marker>
            <c:symbol val="none"/>
          </c:marker>
          <c:cat>
            <c:strRef>
              <c:f>'Fiche PRO'!$K$115:$S$115</c:f>
              <c:strCache>
                <c:ptCount val="9"/>
                <c:pt idx="0">
                  <c:v>Indice d'éloignement*</c:v>
                </c:pt>
                <c:pt idx="1">
                  <c:v>Indice de position sociale</c:v>
                </c:pt>
                <c:pt idx="2">
                  <c:v>% élèves en retard en 2nde PRO*</c:v>
                </c:pt>
                <c:pt idx="3">
                  <c:v>H/E</c:v>
                </c:pt>
                <c:pt idx="4">
                  <c:v>E/D*</c:v>
                </c:pt>
                <c:pt idx="5">
                  <c:v>Taux de passage 2nde /1ère PRO</c:v>
                </c:pt>
                <c:pt idx="6">
                  <c:v>Taux de redoublement 2nde PRO*</c:v>
                </c:pt>
                <c:pt idx="7">
                  <c:v>Taux de réussite au bac PRO</c:v>
                </c:pt>
                <c:pt idx="8">
                  <c:v>% d'enseignants titulaires</c:v>
                </c:pt>
              </c:strCache>
            </c:strRef>
          </c:cat>
          <c:val>
            <c:numRef>
              <c:f>'Fiche PRO'!$K$117:$S$117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E20-44E2-A160-954C90C95B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0910592"/>
        <c:axId val="140847936"/>
      </c:radarChart>
      <c:catAx>
        <c:axId val="14091059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40847936"/>
        <c:crosses val="autoZero"/>
        <c:auto val="0"/>
        <c:lblAlgn val="ctr"/>
        <c:lblOffset val="100"/>
        <c:noMultiLvlLbl val="0"/>
      </c:catAx>
      <c:valAx>
        <c:axId val="140847936"/>
        <c:scaling>
          <c:orientation val="minMax"/>
          <c:max val="5"/>
          <c:min val="-5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ysDash"/>
            </a:ln>
          </c:spPr>
        </c:majorGridlines>
        <c:numFmt formatCode="0" sourceLinked="0"/>
        <c:majorTickMark val="cross"/>
        <c:minorTickMark val="cross"/>
        <c:tickLblPos val="none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40910592"/>
        <c:crosses val="autoZero"/>
        <c:crossBetween val="between"/>
        <c:majorUnit val="1"/>
        <c:minorUnit val="1"/>
      </c:valAx>
      <c:spPr>
        <a:noFill/>
        <a:ln w="25400">
          <a:noFill/>
        </a:ln>
      </c:spPr>
    </c:plotArea>
    <c:legend>
      <c:legendPos val="r"/>
      <c:legendEntry>
        <c:idx val="0"/>
        <c:txPr>
          <a:bodyPr/>
          <a:lstStyle/>
          <a:p>
            <a:pPr>
              <a:defRPr sz="74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</c:legendEntry>
      <c:layout>
        <c:manualLayout>
          <c:xMode val="edge"/>
          <c:yMode val="edge"/>
          <c:x val="0.70361232342339264"/>
          <c:y val="0.82071414274413346"/>
          <c:w val="0.29283620299995061"/>
          <c:h val="8.712078507041086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/>
    <c:pageMargins b="0.75" l="0.7" r="0.7" t="0.75" header="0.3" footer="0.3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0284057971014494E-2"/>
          <c:y val="0.24444444444444444"/>
          <c:w val="0.94262604131005368"/>
          <c:h val="0.2400384951881015"/>
        </c:manualLayout>
      </c:layout>
      <c:scatterChart>
        <c:scatterStyle val="lineMarker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Pt>
            <c:idx val="0"/>
            <c:marker>
              <c:symbol val="plus"/>
              <c:size val="5"/>
              <c:spPr>
                <a:noFill/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2737-4B94-9010-3D5ACD0E9478}"/>
              </c:ext>
            </c:extLst>
          </c:dPt>
          <c:dPt>
            <c:idx val="1"/>
            <c:marker>
              <c:symbol val="triangle"/>
              <c:size val="16"/>
              <c:spPr>
                <a:solidFill>
                  <a:schemeClr val="tx1"/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2737-4B94-9010-3D5ACD0E9478}"/>
              </c:ext>
            </c:extLst>
          </c:dPt>
          <c:dPt>
            <c:idx val="2"/>
            <c:marker>
              <c:symbol val="plus"/>
              <c:size val="5"/>
              <c:spPr>
                <a:noFill/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2-2737-4B94-9010-3D5ACD0E9478}"/>
              </c:ext>
            </c:extLst>
          </c:dPt>
          <c:xVal>
            <c:numRef>
              <c:f>'Fiche GT'!$J$68:$L$68</c:f>
            </c:numRef>
          </c:xVal>
          <c:yVal>
            <c:numRef>
              <c:f>'Fiche GT'!$J$69:$L$69</c:f>
            </c:numRef>
          </c:yVal>
          <c:smooth val="0"/>
          <c:extLst>
            <c:ext xmlns:c16="http://schemas.microsoft.com/office/drawing/2014/chart" uri="{C3380CC4-5D6E-409C-BE32-E72D297353CC}">
              <c16:uniqueId val="{00000003-2737-4B94-9010-3D5ACD0E94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9903232"/>
        <c:axId val="299903808"/>
      </c:scatterChart>
      <c:valAx>
        <c:axId val="299903232"/>
        <c:scaling>
          <c:orientation val="minMax"/>
          <c:max val="0"/>
          <c:min val="-6.64"/>
        </c:scaling>
        <c:delete val="1"/>
        <c:axPos val="b"/>
        <c:numFmt formatCode="0" sourceLinked="0"/>
        <c:majorTickMark val="out"/>
        <c:minorTickMark val="none"/>
        <c:tickLblPos val="nextTo"/>
        <c:crossAx val="299903808"/>
        <c:crosses val="autoZero"/>
        <c:crossBetween val="midCat"/>
        <c:majorUnit val="0.2"/>
        <c:minorUnit val="0.1"/>
      </c:valAx>
      <c:valAx>
        <c:axId val="299903808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out"/>
        <c:minorTickMark val="none"/>
        <c:tickLblPos val="nextTo"/>
        <c:crossAx val="29990323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0284057971014494E-2"/>
          <c:y val="0.24444444444444444"/>
          <c:w val="0.94262604131005368"/>
          <c:h val="0.2400384951881015"/>
        </c:manualLayout>
      </c:layout>
      <c:scatterChart>
        <c:scatterStyle val="lineMarker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Pt>
            <c:idx val="0"/>
            <c:marker>
              <c:symbol val="plus"/>
              <c:size val="5"/>
              <c:spPr>
                <a:noFill/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8338-4BB6-A0F0-5184AC52CF50}"/>
              </c:ext>
            </c:extLst>
          </c:dPt>
          <c:dPt>
            <c:idx val="1"/>
            <c:marker>
              <c:symbol val="triangle"/>
              <c:size val="16"/>
              <c:spPr>
                <a:solidFill>
                  <a:schemeClr val="tx1"/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8338-4BB6-A0F0-5184AC52CF50}"/>
              </c:ext>
            </c:extLst>
          </c:dPt>
          <c:dPt>
            <c:idx val="2"/>
            <c:marker>
              <c:symbol val="plus"/>
              <c:size val="5"/>
              <c:spPr>
                <a:noFill/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2-8338-4BB6-A0F0-5184AC52CF50}"/>
              </c:ext>
            </c:extLst>
          </c:dPt>
          <c:xVal>
            <c:numRef>
              <c:f>'Fiche GT'!$J$68:$L$68</c:f>
            </c:numRef>
          </c:xVal>
          <c:yVal>
            <c:numRef>
              <c:f>'Fiche GT'!$J$69:$L$69</c:f>
            </c:numRef>
          </c:yVal>
          <c:smooth val="0"/>
          <c:extLst>
            <c:ext xmlns:c16="http://schemas.microsoft.com/office/drawing/2014/chart" uri="{C3380CC4-5D6E-409C-BE32-E72D297353CC}">
              <c16:uniqueId val="{00000003-8338-4BB6-A0F0-5184AC52CF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9905536"/>
        <c:axId val="299906112"/>
      </c:scatterChart>
      <c:valAx>
        <c:axId val="299905536"/>
        <c:scaling>
          <c:orientation val="minMax"/>
          <c:max val="6.5"/>
          <c:min val="0"/>
        </c:scaling>
        <c:delete val="1"/>
        <c:axPos val="b"/>
        <c:numFmt formatCode="0" sourceLinked="0"/>
        <c:majorTickMark val="out"/>
        <c:minorTickMark val="none"/>
        <c:tickLblPos val="nextTo"/>
        <c:crossAx val="299906112"/>
        <c:crosses val="autoZero"/>
        <c:crossBetween val="midCat"/>
        <c:majorUnit val="0.2"/>
        <c:minorUnit val="0.1"/>
      </c:valAx>
      <c:valAx>
        <c:axId val="299906112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out"/>
        <c:minorTickMark val="none"/>
        <c:tickLblPos val="nextTo"/>
        <c:crossAx val="29990553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0284057971014494E-2"/>
          <c:y val="0.24444444444444444"/>
          <c:w val="0.94262604131005368"/>
          <c:h val="0.2400384951881015"/>
        </c:manualLayout>
      </c:layout>
      <c:scatterChart>
        <c:scatterStyle val="lineMarker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Pt>
            <c:idx val="0"/>
            <c:marker>
              <c:symbol val="plus"/>
              <c:size val="5"/>
              <c:spPr>
                <a:noFill/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A961-4AB1-BA79-2F98EA5B964C}"/>
              </c:ext>
            </c:extLst>
          </c:dPt>
          <c:dPt>
            <c:idx val="1"/>
            <c:marker>
              <c:symbol val="triangle"/>
              <c:size val="16"/>
              <c:spPr>
                <a:solidFill>
                  <a:schemeClr val="tx1"/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A961-4AB1-BA79-2F98EA5B964C}"/>
              </c:ext>
            </c:extLst>
          </c:dPt>
          <c:dPt>
            <c:idx val="2"/>
            <c:marker>
              <c:symbol val="plus"/>
              <c:size val="5"/>
              <c:spPr>
                <a:noFill/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2-A961-4AB1-BA79-2F98EA5B964C}"/>
              </c:ext>
            </c:extLst>
          </c:dPt>
          <c:xVal>
            <c:numRef>
              <c:f>'Fiche GT'!$J$52:$L$52</c:f>
            </c:numRef>
          </c:xVal>
          <c:yVal>
            <c:numRef>
              <c:f>'Fiche GT'!$J$53:$L$53</c:f>
            </c:numRef>
          </c:yVal>
          <c:smooth val="0"/>
          <c:extLst>
            <c:ext xmlns:c16="http://schemas.microsoft.com/office/drawing/2014/chart" uri="{C3380CC4-5D6E-409C-BE32-E72D297353CC}">
              <c16:uniqueId val="{00000003-A961-4AB1-BA79-2F98EA5B96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9908416"/>
        <c:axId val="299466752"/>
      </c:scatterChart>
      <c:valAx>
        <c:axId val="299908416"/>
        <c:scaling>
          <c:orientation val="minMax"/>
          <c:max val="6.5"/>
          <c:min val="0"/>
        </c:scaling>
        <c:delete val="1"/>
        <c:axPos val="b"/>
        <c:numFmt formatCode="0" sourceLinked="0"/>
        <c:majorTickMark val="out"/>
        <c:minorTickMark val="none"/>
        <c:tickLblPos val="nextTo"/>
        <c:crossAx val="299466752"/>
        <c:crosses val="autoZero"/>
        <c:crossBetween val="midCat"/>
        <c:majorUnit val="0.2"/>
        <c:minorUnit val="0.1"/>
      </c:valAx>
      <c:valAx>
        <c:axId val="299466752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out"/>
        <c:minorTickMark val="none"/>
        <c:tickLblPos val="nextTo"/>
        <c:crossAx val="29990841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0284057971014494E-2"/>
          <c:y val="0.24444444444444444"/>
          <c:w val="0.94262604131005368"/>
          <c:h val="0.2400384951881015"/>
        </c:manualLayout>
      </c:layout>
      <c:scatterChart>
        <c:scatterStyle val="lineMarker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Pt>
            <c:idx val="0"/>
            <c:marker>
              <c:symbol val="plus"/>
              <c:size val="5"/>
              <c:spPr>
                <a:noFill/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C135-4E40-9489-4727E4DDA191}"/>
              </c:ext>
            </c:extLst>
          </c:dPt>
          <c:dPt>
            <c:idx val="1"/>
            <c:marker>
              <c:symbol val="triangle"/>
              <c:size val="16"/>
              <c:spPr>
                <a:solidFill>
                  <a:schemeClr val="tx1"/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C135-4E40-9489-4727E4DDA191}"/>
              </c:ext>
            </c:extLst>
          </c:dPt>
          <c:dPt>
            <c:idx val="2"/>
            <c:marker>
              <c:symbol val="plus"/>
              <c:size val="5"/>
              <c:spPr>
                <a:noFill/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2-C135-4E40-9489-4727E4DDA191}"/>
              </c:ext>
            </c:extLst>
          </c:dPt>
          <c:xVal>
            <c:numRef>
              <c:f>'Fiche GT'!$J$52:$L$52</c:f>
            </c:numRef>
          </c:xVal>
          <c:yVal>
            <c:numRef>
              <c:f>'Fiche GT'!$J$53:$L$53</c:f>
            </c:numRef>
          </c:yVal>
          <c:smooth val="0"/>
          <c:extLst>
            <c:ext xmlns:c16="http://schemas.microsoft.com/office/drawing/2014/chart" uri="{C3380CC4-5D6E-409C-BE32-E72D297353CC}">
              <c16:uniqueId val="{00000003-C135-4E40-9489-4727E4DDA1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9467904"/>
        <c:axId val="299468480"/>
      </c:scatterChart>
      <c:valAx>
        <c:axId val="299467904"/>
        <c:scaling>
          <c:orientation val="minMax"/>
          <c:max val="0"/>
          <c:min val="-6.64"/>
        </c:scaling>
        <c:delete val="1"/>
        <c:axPos val="b"/>
        <c:numFmt formatCode="0" sourceLinked="0"/>
        <c:majorTickMark val="out"/>
        <c:minorTickMark val="none"/>
        <c:tickLblPos val="nextTo"/>
        <c:crossAx val="299468480"/>
        <c:crosses val="autoZero"/>
        <c:crossBetween val="midCat"/>
        <c:majorUnit val="0.2"/>
        <c:minorUnit val="0.1"/>
      </c:valAx>
      <c:valAx>
        <c:axId val="299468480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out"/>
        <c:minorTickMark val="none"/>
        <c:tickLblPos val="nextTo"/>
        <c:crossAx val="29946790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0284057971014494E-2"/>
          <c:y val="0.24444444444444444"/>
          <c:w val="0.94262604131005368"/>
          <c:h val="0.2400384951881015"/>
        </c:manualLayout>
      </c:layout>
      <c:scatterChart>
        <c:scatterStyle val="lineMarker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Pt>
            <c:idx val="0"/>
            <c:marker>
              <c:symbol val="plus"/>
              <c:size val="5"/>
              <c:spPr>
                <a:noFill/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472F-4CBA-8B27-F6A45BB5B71D}"/>
              </c:ext>
            </c:extLst>
          </c:dPt>
          <c:dPt>
            <c:idx val="1"/>
            <c:marker>
              <c:symbol val="triangle"/>
              <c:size val="16"/>
              <c:spPr>
                <a:solidFill>
                  <a:schemeClr val="tx1"/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472F-4CBA-8B27-F6A45BB5B71D}"/>
              </c:ext>
            </c:extLst>
          </c:dPt>
          <c:dPt>
            <c:idx val="2"/>
            <c:marker>
              <c:symbol val="plus"/>
              <c:size val="5"/>
              <c:spPr>
                <a:noFill/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2-472F-4CBA-8B27-F6A45BB5B71D}"/>
              </c:ext>
            </c:extLst>
          </c:dPt>
          <c:xVal>
            <c:numRef>
              <c:f>'Fiche GT'!$J$98:$L$98</c:f>
            </c:numRef>
          </c:xVal>
          <c:yVal>
            <c:numRef>
              <c:f>'Fiche GT'!$J$99:$L$99</c:f>
            </c:numRef>
          </c:yVal>
          <c:smooth val="0"/>
          <c:extLst>
            <c:ext xmlns:c16="http://schemas.microsoft.com/office/drawing/2014/chart" uri="{C3380CC4-5D6E-409C-BE32-E72D297353CC}">
              <c16:uniqueId val="{00000003-472F-4CBA-8B27-F6A45BB5B7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9470208"/>
        <c:axId val="299470784"/>
      </c:scatterChart>
      <c:valAx>
        <c:axId val="299470208"/>
        <c:scaling>
          <c:orientation val="minMax"/>
          <c:max val="0"/>
          <c:min val="-6.64"/>
        </c:scaling>
        <c:delete val="1"/>
        <c:axPos val="b"/>
        <c:numFmt formatCode="0" sourceLinked="0"/>
        <c:majorTickMark val="out"/>
        <c:minorTickMark val="none"/>
        <c:tickLblPos val="nextTo"/>
        <c:crossAx val="299470784"/>
        <c:crosses val="autoZero"/>
        <c:crossBetween val="midCat"/>
        <c:majorUnit val="0.2"/>
        <c:minorUnit val="0.1"/>
      </c:valAx>
      <c:valAx>
        <c:axId val="299470784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out"/>
        <c:minorTickMark val="none"/>
        <c:tickLblPos val="nextTo"/>
        <c:crossAx val="29947020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0284057971014494E-2"/>
          <c:y val="0.24444444444444444"/>
          <c:w val="0.94262604131005368"/>
          <c:h val="0.2400384951881015"/>
        </c:manualLayout>
      </c:layout>
      <c:scatterChart>
        <c:scatterStyle val="lineMarker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Pt>
            <c:idx val="0"/>
            <c:marker>
              <c:symbol val="plus"/>
              <c:size val="5"/>
              <c:spPr>
                <a:noFill/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3B4E-4710-A71C-879B4A26E1F8}"/>
              </c:ext>
            </c:extLst>
          </c:dPt>
          <c:dPt>
            <c:idx val="1"/>
            <c:marker>
              <c:symbol val="triangle"/>
              <c:size val="16"/>
              <c:spPr>
                <a:solidFill>
                  <a:schemeClr val="tx1"/>
                </a:solidFill>
                <a:ln w="9525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3B4E-4710-A71C-879B4A26E1F8}"/>
              </c:ext>
            </c:extLst>
          </c:dPt>
          <c:dPt>
            <c:idx val="2"/>
            <c:marker>
              <c:symbol val="plus"/>
              <c:size val="5"/>
              <c:spPr>
                <a:noFill/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2-3B4E-4710-A71C-879B4A26E1F8}"/>
              </c:ext>
            </c:extLst>
          </c:dPt>
          <c:xVal>
            <c:numRef>
              <c:f>'Fiche GT'!$J$98:$L$98</c:f>
            </c:numRef>
          </c:xVal>
          <c:yVal>
            <c:numRef>
              <c:f>'Fiche GT'!$J$99:$L$99</c:f>
            </c:numRef>
          </c:yVal>
          <c:smooth val="0"/>
          <c:extLst>
            <c:ext xmlns:c16="http://schemas.microsoft.com/office/drawing/2014/chart" uri="{C3380CC4-5D6E-409C-BE32-E72D297353CC}">
              <c16:uniqueId val="{00000003-3B4E-4710-A71C-879B4A26E1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9472512"/>
        <c:axId val="299473088"/>
      </c:scatterChart>
      <c:valAx>
        <c:axId val="299472512"/>
        <c:scaling>
          <c:orientation val="minMax"/>
          <c:max val="6.5"/>
          <c:min val="0"/>
        </c:scaling>
        <c:delete val="1"/>
        <c:axPos val="b"/>
        <c:numFmt formatCode="0" sourceLinked="0"/>
        <c:majorTickMark val="out"/>
        <c:minorTickMark val="none"/>
        <c:tickLblPos val="nextTo"/>
        <c:crossAx val="299473088"/>
        <c:crosses val="autoZero"/>
        <c:crossBetween val="midCat"/>
        <c:majorUnit val="0.2"/>
        <c:minorUnit val="0.1"/>
      </c:valAx>
      <c:valAx>
        <c:axId val="299473088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out"/>
        <c:minorTickMark val="none"/>
        <c:tickLblPos val="nextTo"/>
        <c:crossAx val="29947251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9046844092296636"/>
          <c:y val="0.10193511909976452"/>
          <c:w val="0.48758929012310509"/>
          <c:h val="0.65130563371272099"/>
        </c:manualLayout>
      </c:layout>
      <c:radarChart>
        <c:radarStyle val="marker"/>
        <c:varyColors val="0"/>
        <c:ser>
          <c:idx val="0"/>
          <c:order val="0"/>
          <c:tx>
            <c:strRef>
              <c:f>'Fiche GT'!$B$1</c:f>
              <c:strCache>
                <c:ptCount val="1"/>
                <c:pt idx="0">
                  <c:v>9830002K : Lycée La Pérouse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'Fiche GT'!$K$115:$S$115</c:f>
              <c:strCache>
                <c:ptCount val="9"/>
                <c:pt idx="0">
                  <c:v>Indice d'éloignement*</c:v>
                </c:pt>
                <c:pt idx="1">
                  <c:v>Indice de position sociale</c:v>
                </c:pt>
                <c:pt idx="2">
                  <c:v>% élèves en retard en 2nde*</c:v>
                </c:pt>
                <c:pt idx="3">
                  <c:v>H/E</c:v>
                </c:pt>
                <c:pt idx="4">
                  <c:v>E/D*</c:v>
                </c:pt>
                <c:pt idx="5">
                  <c:v>Taux de passage 2nde GT/1ère G</c:v>
                </c:pt>
                <c:pt idx="6">
                  <c:v>Taux de redoublement 2nde*</c:v>
                </c:pt>
                <c:pt idx="7">
                  <c:v>Taux de réussite au bac GT</c:v>
                </c:pt>
                <c:pt idx="8">
                  <c:v>% d'enseignants titulaires</c:v>
                </c:pt>
              </c:strCache>
            </c:strRef>
          </c:cat>
          <c:val>
            <c:numRef>
              <c:f>'Fiche GT'!$K$116:$S$116</c:f>
              <c:numCache>
                <c:formatCode>0.0</c:formatCode>
                <c:ptCount val="9"/>
                <c:pt idx="0">
                  <c:v>5</c:v>
                </c:pt>
                <c:pt idx="1">
                  <c:v>5</c:v>
                </c:pt>
                <c:pt idx="2">
                  <c:v>-0.52325581395348864</c:v>
                </c:pt>
                <c:pt idx="3">
                  <c:v>-1.2000000000000011</c:v>
                </c:pt>
                <c:pt idx="4">
                  <c:v>-0.63636363636363569</c:v>
                </c:pt>
                <c:pt idx="5">
                  <c:v>3.9</c:v>
                </c:pt>
                <c:pt idx="6">
                  <c:v>0.58295964125560529</c:v>
                </c:pt>
                <c:pt idx="7">
                  <c:v>2.5795053003533561</c:v>
                </c:pt>
                <c:pt idx="8">
                  <c:v>3.9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B3-49B2-AC45-0015BF5F841B}"/>
            </c:ext>
          </c:extLst>
        </c:ser>
        <c:ser>
          <c:idx val="1"/>
          <c:order val="1"/>
          <c:tx>
            <c:strRef>
              <c:f>'Fiche GT'!$J$117</c:f>
              <c:strCache>
                <c:ptCount val="1"/>
                <c:pt idx="0">
                  <c:v>Public + privé</c:v>
                </c:pt>
              </c:strCache>
            </c:strRef>
          </c:tx>
          <c:spPr>
            <a:ln w="25400">
              <a:solidFill>
                <a:srgbClr val="3333CC"/>
              </a:solidFill>
              <a:prstDash val="lgDash"/>
            </a:ln>
          </c:spPr>
          <c:marker>
            <c:symbol val="none"/>
          </c:marker>
          <c:cat>
            <c:strRef>
              <c:f>'Fiche GT'!$K$115:$S$115</c:f>
              <c:strCache>
                <c:ptCount val="9"/>
                <c:pt idx="0">
                  <c:v>Indice d'éloignement*</c:v>
                </c:pt>
                <c:pt idx="1">
                  <c:v>Indice de position sociale</c:v>
                </c:pt>
                <c:pt idx="2">
                  <c:v>% élèves en retard en 2nde*</c:v>
                </c:pt>
                <c:pt idx="3">
                  <c:v>H/E</c:v>
                </c:pt>
                <c:pt idx="4">
                  <c:v>E/D*</c:v>
                </c:pt>
                <c:pt idx="5">
                  <c:v>Taux de passage 2nde GT/1ère G</c:v>
                </c:pt>
                <c:pt idx="6">
                  <c:v>Taux de redoublement 2nde*</c:v>
                </c:pt>
                <c:pt idx="7">
                  <c:v>Taux de réussite au bac GT</c:v>
                </c:pt>
                <c:pt idx="8">
                  <c:v>% d'enseignants titulaires</c:v>
                </c:pt>
              </c:strCache>
            </c:strRef>
          </c:cat>
          <c:val>
            <c:numRef>
              <c:f>'Fiche GT'!$K$117:$S$117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2B3-49B2-AC45-0015BF5F84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7944576"/>
        <c:axId val="140099584"/>
      </c:radarChart>
      <c:catAx>
        <c:axId val="13794457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40099584"/>
        <c:crosses val="autoZero"/>
        <c:auto val="0"/>
        <c:lblAlgn val="ctr"/>
        <c:lblOffset val="100"/>
        <c:noMultiLvlLbl val="0"/>
      </c:catAx>
      <c:valAx>
        <c:axId val="140099584"/>
        <c:scaling>
          <c:orientation val="minMax"/>
          <c:max val="5"/>
          <c:min val="-5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ysDash"/>
            </a:ln>
          </c:spPr>
        </c:majorGridlines>
        <c:numFmt formatCode="0" sourceLinked="0"/>
        <c:majorTickMark val="cross"/>
        <c:minorTickMark val="cross"/>
        <c:tickLblPos val="none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37944576"/>
        <c:crosses val="autoZero"/>
        <c:crossBetween val="between"/>
        <c:majorUnit val="1"/>
        <c:minorUnit val="1"/>
      </c:valAx>
      <c:spPr>
        <a:noFill/>
        <a:ln w="25400">
          <a:noFill/>
        </a:ln>
      </c:spPr>
    </c:plotArea>
    <c:legend>
      <c:legendPos val="r"/>
      <c:legendEntry>
        <c:idx val="0"/>
        <c:txPr>
          <a:bodyPr/>
          <a:lstStyle/>
          <a:p>
            <a:pPr>
              <a:defRPr sz="74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</c:legendEntry>
      <c:layout>
        <c:manualLayout>
          <c:xMode val="edge"/>
          <c:yMode val="edge"/>
          <c:x val="0.70361232342339264"/>
          <c:y val="0.82071414274413346"/>
          <c:w val="0.29283620299995061"/>
          <c:h val="8.950317429916018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fr-FR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/>
    <c:pageMargins b="0.75" l="0.7" r="0.7" t="0.75" header="0.3" footer="0.3"/>
    <c:pageSetup orientation="portrait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Evolution des effectifs de niveau lycée PRO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'Fiche PRO'!$D$27:$G$27</c:f>
              <c:numCache>
                <c:formatCode>General</c:formatCode>
                <c:ptCount val="4"/>
                <c:pt idx="0">
                  <c:v>2012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</c:numCache>
            </c:numRef>
          </c:cat>
          <c:val>
            <c:numRef>
              <c:f>'Fiche PRO'!$D$28:$G$28</c:f>
              <c:numCache>
                <c:formatCode>General</c:formatCode>
                <c:ptCount val="4"/>
                <c:pt idx="0">
                  <c:v>1185</c:v>
                </c:pt>
                <c:pt idx="1">
                  <c:v>908</c:v>
                </c:pt>
                <c:pt idx="2">
                  <c:v>883</c:v>
                </c:pt>
                <c:pt idx="3">
                  <c:v>916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1C-4A9F-94A2-E66FCC8F36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40232704"/>
        <c:axId val="140103040"/>
      </c:barChart>
      <c:catAx>
        <c:axId val="140232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40103040"/>
        <c:crosses val="autoZero"/>
        <c:auto val="1"/>
        <c:lblAlgn val="ctr"/>
        <c:lblOffset val="100"/>
        <c:noMultiLvlLbl val="0"/>
      </c:catAx>
      <c:valAx>
        <c:axId val="140103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402327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5.xml"/><Relationship Id="rId3" Type="http://schemas.openxmlformats.org/officeDocument/2006/relationships/chart" Target="../charts/chart10.xml"/><Relationship Id="rId7" Type="http://schemas.openxmlformats.org/officeDocument/2006/relationships/chart" Target="../charts/chart14.xml"/><Relationship Id="rId2" Type="http://schemas.openxmlformats.org/officeDocument/2006/relationships/chart" Target="../charts/chart9.xml"/><Relationship Id="rId1" Type="http://schemas.openxmlformats.org/officeDocument/2006/relationships/image" Target="../media/image2.png"/><Relationship Id="rId6" Type="http://schemas.openxmlformats.org/officeDocument/2006/relationships/chart" Target="../charts/chart13.xml"/><Relationship Id="rId5" Type="http://schemas.openxmlformats.org/officeDocument/2006/relationships/chart" Target="../charts/chart12.xml"/><Relationship Id="rId4" Type="http://schemas.openxmlformats.org/officeDocument/2006/relationships/chart" Target="../charts/chart11.xml"/><Relationship Id="rId9" Type="http://schemas.openxmlformats.org/officeDocument/2006/relationships/chart" Target="../charts/chart1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22</xdr:row>
      <xdr:rowOff>161924</xdr:rowOff>
    </xdr:from>
    <xdr:to>
      <xdr:col>8</xdr:col>
      <xdr:colOff>904874</xdr:colOff>
      <xdr:row>35</xdr:row>
      <xdr:rowOff>161924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67</xdr:row>
      <xdr:rowOff>0</xdr:rowOff>
    </xdr:from>
    <xdr:to>
      <xdr:col>4</xdr:col>
      <xdr:colOff>0</xdr:colOff>
      <xdr:row>72</xdr:row>
      <xdr:rowOff>0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0</xdr:colOff>
      <xdr:row>67</xdr:row>
      <xdr:rowOff>0</xdr:rowOff>
    </xdr:from>
    <xdr:to>
      <xdr:col>9</xdr:col>
      <xdr:colOff>0</xdr:colOff>
      <xdr:row>72</xdr:row>
      <xdr:rowOff>0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0</xdr:colOff>
      <xdr:row>51</xdr:row>
      <xdr:rowOff>0</xdr:rowOff>
    </xdr:from>
    <xdr:to>
      <xdr:col>9</xdr:col>
      <xdr:colOff>0</xdr:colOff>
      <xdr:row>55</xdr:row>
      <xdr:rowOff>0</xdr:rowOff>
    </xdr:to>
    <xdr:graphicFrame macro="">
      <xdr:nvGraphicFramePr>
        <xdr:cNvPr id="6" name="Graphique 5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51</xdr:row>
      <xdr:rowOff>0</xdr:rowOff>
    </xdr:from>
    <xdr:to>
      <xdr:col>4</xdr:col>
      <xdr:colOff>0</xdr:colOff>
      <xdr:row>55</xdr:row>
      <xdr:rowOff>0</xdr:rowOff>
    </xdr:to>
    <xdr:graphicFrame macro="">
      <xdr:nvGraphicFramePr>
        <xdr:cNvPr id="7" name="Graphique 6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97</xdr:row>
      <xdr:rowOff>0</xdr:rowOff>
    </xdr:from>
    <xdr:to>
      <xdr:col>4</xdr:col>
      <xdr:colOff>0</xdr:colOff>
      <xdr:row>100</xdr:row>
      <xdr:rowOff>0</xdr:rowOff>
    </xdr:to>
    <xdr:graphicFrame macro="">
      <xdr:nvGraphicFramePr>
        <xdr:cNvPr id="8" name="Graphique 7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</xdr:col>
      <xdr:colOff>0</xdr:colOff>
      <xdr:row>97</xdr:row>
      <xdr:rowOff>0</xdr:rowOff>
    </xdr:from>
    <xdr:to>
      <xdr:col>9</xdr:col>
      <xdr:colOff>0</xdr:colOff>
      <xdr:row>100</xdr:row>
      <xdr:rowOff>0</xdr:rowOff>
    </xdr:to>
    <xdr:graphicFrame macro="">
      <xdr:nvGraphicFramePr>
        <xdr:cNvPr id="9" name="Graphique 8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absoluteAnchor>
    <xdr:pos x="342900" y="14363699"/>
    <xdr:ext cx="6581775" cy="5330783"/>
    <xdr:graphicFrame macro="">
      <xdr:nvGraphicFramePr>
        <xdr:cNvPr id="10" name="Graphique 9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absoluteAnchor>
  <xdr:twoCellAnchor editAs="oneCell">
    <xdr:from>
      <xdr:col>1</xdr:col>
      <xdr:colOff>57150</xdr:colOff>
      <xdr:row>2</xdr:row>
      <xdr:rowOff>9525</xdr:rowOff>
    </xdr:from>
    <xdr:to>
      <xdr:col>2</xdr:col>
      <xdr:colOff>746514</xdr:colOff>
      <xdr:row>16</xdr:row>
      <xdr:rowOff>38099</xdr:rowOff>
    </xdr:to>
    <xdr:pic>
      <xdr:nvPicPr>
        <xdr:cNvPr id="11" name="Image 10" descr="http://intranet.in.ac-noumea.nc/vr/IMG/png/logovrnc-dge.png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371475"/>
          <a:ext cx="2003814" cy="895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0.28093</cdr:x>
      <cdr:y>0.21525</cdr:y>
    </cdr:from>
    <cdr:to>
      <cdr:x>0.28093</cdr:x>
      <cdr:y>0.86547</cdr:y>
    </cdr:to>
    <cdr:cxnSp macro="">
      <cdr:nvCxnSpPr>
        <cdr:cNvPr id="3" name="Connecteur droit 2"/>
        <cdr:cNvCxnSpPr/>
      </cdr:nvCxnSpPr>
      <cdr:spPr bwMode="auto">
        <a:xfrm xmlns:a="http://schemas.openxmlformats.org/drawingml/2006/main">
          <a:off x="1838324" y="457201"/>
          <a:ext cx="0" cy="1381125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0.00117</cdr:x>
      <cdr:y>0.82014</cdr:y>
    </cdr:from>
    <cdr:to>
      <cdr:x>0.70188</cdr:x>
      <cdr:y>0.90948</cdr:y>
    </cdr:to>
    <cdr:sp macro="" textlink="">
      <cdr:nvSpPr>
        <cdr:cNvPr id="8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701" y="4371988"/>
          <a:ext cx="4611915" cy="476238"/>
        </a:xfrm>
        <a:prstGeom xmlns:a="http://schemas.openxmlformats.org/drawingml/2006/main" prst="rect">
          <a:avLst/>
        </a:prstGeom>
        <a:ln xmlns:a="http://schemas.openxmlformats.org/drawingml/2006/main" w="9525">
          <a:headEnd/>
          <a:tailEnd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fr-FR" sz="7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Lecture : Plus le polygone de l'établissement tend vers l'extérieur, plus la situation de l'établissement est favorable pour le domaine concerné, </a:t>
          </a:r>
        </a:p>
        <a:p xmlns:a="http://schemas.openxmlformats.org/drawingml/2006/main">
          <a:pPr algn="l" rtl="0">
            <a:defRPr sz="1000"/>
          </a:pPr>
          <a:r>
            <a:rPr lang="fr-FR" sz="7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Plus le polygone de l'établissement se trouve éloigné du trait bleu, plus l'écart avec la moyenne académique est significative.</a:t>
          </a:r>
        </a:p>
      </cdr:txBody>
    </cdr:sp>
  </cdr:relSizeAnchor>
  <cdr:relSizeAnchor xmlns:cdr="http://schemas.openxmlformats.org/drawingml/2006/chartDrawing">
    <cdr:from>
      <cdr:x>0.84533</cdr:x>
      <cdr:y>0.74375</cdr:y>
    </cdr:from>
    <cdr:to>
      <cdr:x>0.9946</cdr:x>
      <cdr:y>0.77535</cdr:y>
    </cdr:to>
    <cdr:sp macro="" textlink="">
      <cdr:nvSpPr>
        <cdr:cNvPr id="10" name="Rectangle 9"/>
        <cdr:cNvSpPr/>
      </cdr:nvSpPr>
      <cdr:spPr bwMode="auto">
        <a:xfrm xmlns:a="http://schemas.openxmlformats.org/drawingml/2006/main">
          <a:off x="5563753" y="3964755"/>
          <a:ext cx="982462" cy="16845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ap="flat" cmpd="sng" algn="ctr">
          <a:noFill/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wrap="square" lIns="18288" tIns="0" rIns="0" bIns="0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fr-FR" sz="1050"/>
            <a:t>* indicateurs inversés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</xdr:row>
      <xdr:rowOff>104775</xdr:rowOff>
    </xdr:from>
    <xdr:to>
      <xdr:col>2</xdr:col>
      <xdr:colOff>2738</xdr:colOff>
      <xdr:row>16</xdr:row>
      <xdr:rowOff>38100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3850" y="304800"/>
          <a:ext cx="1307663" cy="962025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23</xdr:row>
      <xdr:rowOff>161924</xdr:rowOff>
    </xdr:from>
    <xdr:to>
      <xdr:col>8</xdr:col>
      <xdr:colOff>904874</xdr:colOff>
      <xdr:row>36</xdr:row>
      <xdr:rowOff>161924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66</xdr:row>
      <xdr:rowOff>0</xdr:rowOff>
    </xdr:from>
    <xdr:to>
      <xdr:col>4</xdr:col>
      <xdr:colOff>0</xdr:colOff>
      <xdr:row>69</xdr:row>
      <xdr:rowOff>0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0</xdr:colOff>
      <xdr:row>66</xdr:row>
      <xdr:rowOff>0</xdr:rowOff>
    </xdr:from>
    <xdr:to>
      <xdr:col>9</xdr:col>
      <xdr:colOff>0</xdr:colOff>
      <xdr:row>69</xdr:row>
      <xdr:rowOff>0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0</xdr:colOff>
      <xdr:row>53</xdr:row>
      <xdr:rowOff>0</xdr:rowOff>
    </xdr:from>
    <xdr:to>
      <xdr:col>9</xdr:col>
      <xdr:colOff>0</xdr:colOff>
      <xdr:row>56</xdr:row>
      <xdr:rowOff>0</xdr:rowOff>
    </xdr:to>
    <xdr:graphicFrame macro="">
      <xdr:nvGraphicFramePr>
        <xdr:cNvPr id="6" name="Graphique 5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53</xdr:row>
      <xdr:rowOff>0</xdr:rowOff>
    </xdr:from>
    <xdr:to>
      <xdr:col>4</xdr:col>
      <xdr:colOff>0</xdr:colOff>
      <xdr:row>56</xdr:row>
      <xdr:rowOff>0</xdr:rowOff>
    </xdr:to>
    <xdr:graphicFrame macro="">
      <xdr:nvGraphicFramePr>
        <xdr:cNvPr id="7" name="Graphique 6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97</xdr:row>
      <xdr:rowOff>0</xdr:rowOff>
    </xdr:from>
    <xdr:to>
      <xdr:col>4</xdr:col>
      <xdr:colOff>0</xdr:colOff>
      <xdr:row>100</xdr:row>
      <xdr:rowOff>0</xdr:rowOff>
    </xdr:to>
    <xdr:graphicFrame macro="">
      <xdr:nvGraphicFramePr>
        <xdr:cNvPr id="8" name="Graphique 7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0</xdr:colOff>
      <xdr:row>97</xdr:row>
      <xdr:rowOff>0</xdr:rowOff>
    </xdr:from>
    <xdr:to>
      <xdr:col>9</xdr:col>
      <xdr:colOff>0</xdr:colOff>
      <xdr:row>100</xdr:row>
      <xdr:rowOff>0</xdr:rowOff>
    </xdr:to>
    <xdr:graphicFrame macro="">
      <xdr:nvGraphicFramePr>
        <xdr:cNvPr id="9" name="Graphique 8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absoluteAnchor>
    <xdr:pos x="333375" y="14106524"/>
    <xdr:ext cx="6581775" cy="5330783"/>
    <xdr:graphicFrame macro="">
      <xdr:nvGraphicFramePr>
        <xdr:cNvPr id="10" name="Graphique 9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absolute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0.28093</cdr:x>
      <cdr:y>0.21525</cdr:y>
    </cdr:from>
    <cdr:to>
      <cdr:x>0.28093</cdr:x>
      <cdr:y>0.86547</cdr:y>
    </cdr:to>
    <cdr:cxnSp macro="">
      <cdr:nvCxnSpPr>
        <cdr:cNvPr id="3" name="Connecteur droit 2"/>
        <cdr:cNvCxnSpPr/>
      </cdr:nvCxnSpPr>
      <cdr:spPr bwMode="auto">
        <a:xfrm xmlns:a="http://schemas.openxmlformats.org/drawingml/2006/main">
          <a:off x="1838324" y="457201"/>
          <a:ext cx="0" cy="1381125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0.00117</cdr:x>
      <cdr:y>0.82014</cdr:y>
    </cdr:from>
    <cdr:to>
      <cdr:x>0.70188</cdr:x>
      <cdr:y>0.90769</cdr:y>
    </cdr:to>
    <cdr:sp macro="" textlink="">
      <cdr:nvSpPr>
        <cdr:cNvPr id="8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701" y="4371987"/>
          <a:ext cx="4611915" cy="466713"/>
        </a:xfrm>
        <a:prstGeom xmlns:a="http://schemas.openxmlformats.org/drawingml/2006/main" prst="rect">
          <a:avLst/>
        </a:prstGeom>
        <a:ln xmlns:a="http://schemas.openxmlformats.org/drawingml/2006/main" w="9525">
          <a:headEnd/>
          <a:tailEnd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fr-FR" sz="7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Lecture : Plus le polygone de l'établissement tend vers l'extérieur, plus la situation de l'établissement est favorable pour le domaine concerné, </a:t>
          </a:r>
        </a:p>
        <a:p xmlns:a="http://schemas.openxmlformats.org/drawingml/2006/main">
          <a:pPr algn="l" rtl="0">
            <a:defRPr sz="1000"/>
          </a:pPr>
          <a:r>
            <a:rPr lang="fr-FR" sz="7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Plus le polygone de l'établissement se trouve éloigné du trait bleu, plus l'écart avec la moyenne académique est significative.</a:t>
          </a:r>
        </a:p>
      </cdr:txBody>
    </cdr:sp>
  </cdr:relSizeAnchor>
  <cdr:relSizeAnchor xmlns:cdr="http://schemas.openxmlformats.org/drawingml/2006/chartDrawing">
    <cdr:from>
      <cdr:x>0.84533</cdr:x>
      <cdr:y>0.74375</cdr:y>
    </cdr:from>
    <cdr:to>
      <cdr:x>0.9946</cdr:x>
      <cdr:y>0.77535</cdr:y>
    </cdr:to>
    <cdr:sp macro="" textlink="">
      <cdr:nvSpPr>
        <cdr:cNvPr id="10" name="Rectangle 9"/>
        <cdr:cNvSpPr/>
      </cdr:nvSpPr>
      <cdr:spPr bwMode="auto">
        <a:xfrm xmlns:a="http://schemas.openxmlformats.org/drawingml/2006/main">
          <a:off x="5563753" y="3964755"/>
          <a:ext cx="982462" cy="16845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ap="flat" cmpd="sng" algn="ctr">
          <a:noFill/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wrap="square" lIns="18288" tIns="0" rIns="0" bIns="0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fr-FR" sz="1050"/>
            <a:t>* indicateurs inversés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EP_Interne/INDICATEURS/Tableaux%20de%20bord%202021/Pour%20calcul%20rada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g"/>
      <sheetName val="lyc"/>
    </sheetNames>
    <sheetDataSet>
      <sheetData sheetId="0" refreshError="1"/>
      <sheetData sheetId="1">
        <row r="2">
          <cell r="K2" t="str">
            <v>9830261S</v>
          </cell>
          <cell r="L2">
            <v>2.8</v>
          </cell>
          <cell r="M2">
            <v>5</v>
          </cell>
          <cell r="O2" t="str">
            <v>9830557N</v>
          </cell>
          <cell r="P2">
            <v>1.4</v>
          </cell>
          <cell r="Q2">
            <v>-5</v>
          </cell>
        </row>
        <row r="3">
          <cell r="K3" t="str">
            <v>9830507J</v>
          </cell>
          <cell r="L3">
            <v>5.7</v>
          </cell>
          <cell r="M3">
            <v>3.7</v>
          </cell>
          <cell r="O3" t="str">
            <v>9830261S</v>
          </cell>
          <cell r="P3">
            <v>1.41</v>
          </cell>
          <cell r="Q3">
            <v>-4.3</v>
          </cell>
        </row>
        <row r="4">
          <cell r="K4" t="str">
            <v>9830693L</v>
          </cell>
          <cell r="L4">
            <v>6.7</v>
          </cell>
          <cell r="M4">
            <v>2.7</v>
          </cell>
          <cell r="O4" t="str">
            <v>9830002K</v>
          </cell>
          <cell r="P4">
            <v>1.5</v>
          </cell>
          <cell r="Q4">
            <v>-1.2000000000000011</v>
          </cell>
        </row>
        <row r="5">
          <cell r="K5" t="str">
            <v>9830003L</v>
          </cell>
          <cell r="L5">
            <v>7.9</v>
          </cell>
          <cell r="M5">
            <v>0.58139534883720934</v>
          </cell>
          <cell r="O5" t="str">
            <v>9830504F</v>
          </cell>
          <cell r="P5">
            <v>1.57</v>
          </cell>
          <cell r="Q5">
            <v>-0.26666666666666689</v>
          </cell>
        </row>
        <row r="6">
          <cell r="K6" t="str">
            <v>9830557N</v>
          </cell>
          <cell r="L6">
            <v>8.6</v>
          </cell>
          <cell r="M6">
            <v>0.17441860465116321</v>
          </cell>
          <cell r="O6" t="str">
            <v>9830693L</v>
          </cell>
          <cell r="P6">
            <v>1.61</v>
          </cell>
          <cell r="Q6">
            <v>0.26666666666666689</v>
          </cell>
        </row>
        <row r="7">
          <cell r="K7" t="str">
            <v>9830635Y</v>
          </cell>
          <cell r="L7">
            <v>8.6999999999999993</v>
          </cell>
          <cell r="M7">
            <v>0.11627906976744248</v>
          </cell>
          <cell r="O7" t="str">
            <v>9830377T</v>
          </cell>
          <cell r="P7">
            <v>1.69</v>
          </cell>
          <cell r="Q7">
            <v>1.3333333333333315</v>
          </cell>
        </row>
        <row r="8">
          <cell r="K8" t="str">
            <v>9830002K</v>
          </cell>
          <cell r="L8">
            <v>9.8000000000000007</v>
          </cell>
          <cell r="M8">
            <v>-0.52325581395348864</v>
          </cell>
          <cell r="O8" t="str">
            <v>9830003L</v>
          </cell>
          <cell r="P8">
            <v>1.8</v>
          </cell>
          <cell r="Q8">
            <v>2.7999999999999994</v>
          </cell>
        </row>
        <row r="9">
          <cell r="K9" t="str">
            <v>9830504F</v>
          </cell>
          <cell r="L9">
            <v>13.7</v>
          </cell>
          <cell r="M9">
            <v>-2.7906976744186038</v>
          </cell>
          <cell r="O9" t="str">
            <v>9830483H</v>
          </cell>
          <cell r="P9">
            <v>1.98</v>
          </cell>
          <cell r="Q9">
            <v>4.5999999999999996</v>
          </cell>
        </row>
        <row r="10">
          <cell r="K10" t="str">
            <v>9830377T</v>
          </cell>
          <cell r="L10">
            <v>18.2</v>
          </cell>
          <cell r="M10">
            <v>-4.5999999999999996</v>
          </cell>
          <cell r="O10" t="str">
            <v>9830635Y</v>
          </cell>
          <cell r="P10">
            <v>2.0499999999999998</v>
          </cell>
          <cell r="Q10">
            <v>4.7</v>
          </cell>
        </row>
        <row r="11">
          <cell r="K11" t="str">
            <v>9830483H</v>
          </cell>
          <cell r="L11">
            <v>20</v>
          </cell>
          <cell r="M11">
            <v>-5</v>
          </cell>
          <cell r="O11" t="str">
            <v>9830507J</v>
          </cell>
          <cell r="P11">
            <v>2.15</v>
          </cell>
          <cell r="Q11">
            <v>5</v>
          </cell>
        </row>
        <row r="17">
          <cell r="G17" t="str">
            <v>9830273E</v>
          </cell>
          <cell r="H17">
            <v>64.7</v>
          </cell>
          <cell r="I17">
            <v>-5</v>
          </cell>
          <cell r="K17" t="str">
            <v>9830299H</v>
          </cell>
          <cell r="L17">
            <v>0</v>
          </cell>
          <cell r="M17">
            <v>5</v>
          </cell>
          <cell r="O17" t="str">
            <v>9830401U</v>
          </cell>
          <cell r="P17">
            <v>1.92</v>
          </cell>
          <cell r="Q17">
            <v>-5</v>
          </cell>
          <cell r="S17" t="str">
            <v>9830299H</v>
          </cell>
          <cell r="T17">
            <v>11.4</v>
          </cell>
          <cell r="U17">
            <v>5</v>
          </cell>
          <cell r="W17" t="str">
            <v>9830299H</v>
          </cell>
          <cell r="X17">
            <v>75</v>
          </cell>
          <cell r="Y17">
            <v>-5</v>
          </cell>
          <cell r="AA17" t="str">
            <v>9830271C</v>
          </cell>
          <cell r="AB17">
            <v>0</v>
          </cell>
          <cell r="AC17">
            <v>5</v>
          </cell>
          <cell r="AE17" t="str">
            <v>9830271C</v>
          </cell>
          <cell r="AF17">
            <v>53.3</v>
          </cell>
          <cell r="AG17">
            <v>-5</v>
          </cell>
        </row>
        <row r="18">
          <cell r="G18" t="str">
            <v>9830460H</v>
          </cell>
          <cell r="H18">
            <v>68.900000000000006</v>
          </cell>
          <cell r="I18">
            <v>-4.5999999999999996</v>
          </cell>
          <cell r="K18" t="str">
            <v>9830272D</v>
          </cell>
          <cell r="L18">
            <v>8.5</v>
          </cell>
          <cell r="M18">
            <v>3.6749999999999998</v>
          </cell>
          <cell r="O18" t="str">
            <v>9830377T</v>
          </cell>
          <cell r="P18">
            <v>1.93</v>
          </cell>
          <cell r="Q18">
            <v>-3.9</v>
          </cell>
          <cell r="S18" t="str">
            <v>9830273E</v>
          </cell>
          <cell r="T18">
            <v>11.7</v>
          </cell>
          <cell r="U18">
            <v>4.8</v>
          </cell>
          <cell r="W18" t="str">
            <v>9830294C</v>
          </cell>
          <cell r="X18">
            <v>76.5</v>
          </cell>
          <cell r="Y18">
            <v>-4.8</v>
          </cell>
          <cell r="AA18" t="str">
            <v>9830273E</v>
          </cell>
          <cell r="AB18">
            <v>0</v>
          </cell>
          <cell r="AC18">
            <v>5</v>
          </cell>
          <cell r="AE18" t="str">
            <v>9830003L</v>
          </cell>
          <cell r="AF18">
            <v>61.1</v>
          </cell>
          <cell r="AG18">
            <v>-2.3429951690821245</v>
          </cell>
        </row>
        <row r="19">
          <cell r="G19" t="str">
            <v>9830483H</v>
          </cell>
          <cell r="H19">
            <v>73</v>
          </cell>
          <cell r="I19">
            <v>-3.0181818181818172</v>
          </cell>
          <cell r="K19" t="str">
            <v>9830003L</v>
          </cell>
          <cell r="L19">
            <v>14.4</v>
          </cell>
          <cell r="M19">
            <v>2.1999999999999997</v>
          </cell>
          <cell r="O19" t="str">
            <v>9830269A</v>
          </cell>
          <cell r="P19">
            <v>1.96</v>
          </cell>
          <cell r="Q19">
            <v>-3.2</v>
          </cell>
          <cell r="S19" t="str">
            <v>9830460H</v>
          </cell>
          <cell r="T19">
            <v>14.9</v>
          </cell>
          <cell r="U19">
            <v>3.0821917808219168</v>
          </cell>
          <cell r="W19" t="str">
            <v>9830270B</v>
          </cell>
          <cell r="X19">
            <v>78.7</v>
          </cell>
          <cell r="Y19">
            <v>-4.5</v>
          </cell>
          <cell r="AA19" t="str">
            <v>9830294C</v>
          </cell>
          <cell r="AB19">
            <v>0</v>
          </cell>
          <cell r="AC19">
            <v>5</v>
          </cell>
          <cell r="AE19" t="str">
            <v>9830401U</v>
          </cell>
          <cell r="AF19">
            <v>61.9</v>
          </cell>
          <cell r="AG19">
            <v>-2.1497584541062795</v>
          </cell>
        </row>
        <row r="20">
          <cell r="G20" t="str">
            <v>9830299H</v>
          </cell>
          <cell r="H20">
            <v>77.2</v>
          </cell>
          <cell r="I20">
            <v>-1.4909090909090887</v>
          </cell>
          <cell r="K20" t="str">
            <v>9830635Y</v>
          </cell>
          <cell r="L20">
            <v>15</v>
          </cell>
          <cell r="M20">
            <v>2.0499999999999998</v>
          </cell>
          <cell r="O20" t="str">
            <v>9830271C</v>
          </cell>
          <cell r="P20">
            <v>2.08</v>
          </cell>
          <cell r="Q20">
            <v>-2.6</v>
          </cell>
          <cell r="S20" t="str">
            <v>9830483H</v>
          </cell>
          <cell r="T20">
            <v>16.399999999999999</v>
          </cell>
          <cell r="U20">
            <v>2.0547945205479454</v>
          </cell>
          <cell r="W20" t="str">
            <v>9830272D</v>
          </cell>
          <cell r="X20">
            <v>81.8</v>
          </cell>
          <cell r="Y20">
            <v>-3.7</v>
          </cell>
          <cell r="AA20" t="str">
            <v>9830270B</v>
          </cell>
          <cell r="AB20">
            <v>0.8</v>
          </cell>
          <cell r="AC20">
            <v>1.44</v>
          </cell>
          <cell r="AE20" t="str">
            <v>9830299H</v>
          </cell>
          <cell r="AF20">
            <v>62.5</v>
          </cell>
          <cell r="AG20">
            <v>-2.0048309178743953</v>
          </cell>
        </row>
        <row r="21">
          <cell r="G21" t="str">
            <v>9830294C</v>
          </cell>
          <cell r="H21">
            <v>77.5</v>
          </cell>
          <cell r="I21">
            <v>-1.3818181818181807</v>
          </cell>
          <cell r="K21" t="str">
            <v>9830401U</v>
          </cell>
          <cell r="L21">
            <v>18</v>
          </cell>
          <cell r="M21">
            <v>1.2999999999999998</v>
          </cell>
          <cell r="O21" t="str">
            <v>9830003L</v>
          </cell>
          <cell r="P21">
            <v>2.19</v>
          </cell>
          <cell r="Q21">
            <v>-2.6</v>
          </cell>
          <cell r="S21" t="str">
            <v>9830270B</v>
          </cell>
          <cell r="T21">
            <v>18</v>
          </cell>
          <cell r="U21">
            <v>0.95890410958904015</v>
          </cell>
          <cell r="W21" t="str">
            <v>9830377T</v>
          </cell>
          <cell r="X21">
            <v>83.3</v>
          </cell>
          <cell r="Y21">
            <v>-2.0642201834862388</v>
          </cell>
          <cell r="AA21" t="str">
            <v>9830003L</v>
          </cell>
          <cell r="AB21">
            <v>0.8</v>
          </cell>
          <cell r="AC21">
            <v>1.44</v>
          </cell>
          <cell r="AE21" t="str">
            <v>9830306R</v>
          </cell>
          <cell r="AF21">
            <v>63.5</v>
          </cell>
          <cell r="AG21">
            <v>-1.7632850241545885</v>
          </cell>
        </row>
        <row r="22">
          <cell r="G22" t="str">
            <v>9830635Y</v>
          </cell>
          <cell r="H22">
            <v>78</v>
          </cell>
          <cell r="I22">
            <v>-1.1999999999999991</v>
          </cell>
          <cell r="K22" t="str">
            <v>9830006P</v>
          </cell>
          <cell r="L22">
            <v>18.7</v>
          </cell>
          <cell r="M22">
            <v>1.125</v>
          </cell>
          <cell r="O22" t="str">
            <v>9830272D</v>
          </cell>
          <cell r="P22">
            <v>2.2000000000000002</v>
          </cell>
          <cell r="Q22">
            <v>-1.6</v>
          </cell>
          <cell r="S22" t="str">
            <v>9830294C</v>
          </cell>
          <cell r="T22">
            <v>18.2</v>
          </cell>
          <cell r="U22">
            <v>0.82191780821917759</v>
          </cell>
          <cell r="W22" t="str">
            <v>9830483H</v>
          </cell>
          <cell r="X22">
            <v>83.3</v>
          </cell>
          <cell r="Y22">
            <v>-2.0642201834862388</v>
          </cell>
          <cell r="AA22" t="str">
            <v>9830269A</v>
          </cell>
          <cell r="AB22">
            <v>1.7</v>
          </cell>
          <cell r="AC22">
            <v>0.7200000000000002</v>
          </cell>
          <cell r="AE22" t="str">
            <v>9830294C</v>
          </cell>
          <cell r="AF22">
            <v>64</v>
          </cell>
          <cell r="AG22">
            <v>-1.6425120772946851</v>
          </cell>
        </row>
        <row r="23">
          <cell r="G23" t="str">
            <v>9830306R</v>
          </cell>
          <cell r="H23">
            <v>79</v>
          </cell>
          <cell r="I23">
            <v>-0.83636363636363531</v>
          </cell>
          <cell r="K23" t="str">
            <v>9830693L</v>
          </cell>
          <cell r="L23">
            <v>20.399999999999999</v>
          </cell>
          <cell r="M23">
            <v>0.70000000000000018</v>
          </cell>
          <cell r="O23" t="str">
            <v>9830006P</v>
          </cell>
          <cell r="P23">
            <v>2.25</v>
          </cell>
          <cell r="Q23">
            <v>-0.86956521739130521</v>
          </cell>
          <cell r="S23" t="str">
            <v>9830306R</v>
          </cell>
          <cell r="T23">
            <v>18.3</v>
          </cell>
          <cell r="U23">
            <v>0.75342465753424515</v>
          </cell>
          <cell r="W23" t="str">
            <v>9830273E</v>
          </cell>
          <cell r="X23">
            <v>84.6</v>
          </cell>
          <cell r="Y23">
            <v>-1.4678899082568821</v>
          </cell>
          <cell r="AA23" t="str">
            <v>9830693L</v>
          </cell>
          <cell r="AB23">
            <v>1.7</v>
          </cell>
          <cell r="AC23">
            <v>0.7200000000000002</v>
          </cell>
          <cell r="AE23" t="str">
            <v>9830635Y</v>
          </cell>
          <cell r="AF23">
            <v>68.3</v>
          </cell>
          <cell r="AG23">
            <v>-0.60386473429951681</v>
          </cell>
        </row>
        <row r="24">
          <cell r="G24" t="str">
            <v>9830401U</v>
          </cell>
          <cell r="H24">
            <v>80.7</v>
          </cell>
          <cell r="I24">
            <v>-0.21818181818181612</v>
          </cell>
          <cell r="K24" t="str">
            <v>9830269A</v>
          </cell>
          <cell r="L24">
            <v>22.4</v>
          </cell>
          <cell r="M24">
            <v>0.20000000000000018</v>
          </cell>
          <cell r="O24" t="str">
            <v>9830635Y</v>
          </cell>
          <cell r="P24">
            <v>2.2599999999999998</v>
          </cell>
          <cell r="Q24">
            <v>-0.79710144927536475</v>
          </cell>
          <cell r="S24" t="str">
            <v>9830272D</v>
          </cell>
          <cell r="T24">
            <v>18.899999999999999</v>
          </cell>
          <cell r="U24">
            <v>0.34246575342465752</v>
          </cell>
          <cell r="W24" t="str">
            <v>9830635Y</v>
          </cell>
          <cell r="X24">
            <v>86.4</v>
          </cell>
          <cell r="Y24">
            <v>-0.64220183486238147</v>
          </cell>
          <cell r="AA24" t="str">
            <v>9830483H</v>
          </cell>
          <cell r="AB24">
            <v>1.9</v>
          </cell>
          <cell r="AC24">
            <v>0.56000000000000016</v>
          </cell>
          <cell r="AE24" t="str">
            <v>9830273E</v>
          </cell>
          <cell r="AF24">
            <v>71.400000000000006</v>
          </cell>
          <cell r="AG24">
            <v>0.14492753623188609</v>
          </cell>
        </row>
        <row r="25">
          <cell r="G25" t="str">
            <v>9830006P</v>
          </cell>
          <cell r="H25">
            <v>80.900000000000006</v>
          </cell>
          <cell r="I25">
            <v>-0.14545454545454237</v>
          </cell>
          <cell r="K25" t="str">
            <v>9830306R</v>
          </cell>
          <cell r="L25">
            <v>23.6</v>
          </cell>
          <cell r="M25">
            <v>-0.10000000000000053</v>
          </cell>
          <cell r="O25" t="str">
            <v>9830693L</v>
          </cell>
          <cell r="P25">
            <v>2.35</v>
          </cell>
          <cell r="Q25">
            <v>-0.1449275362318842</v>
          </cell>
          <cell r="S25" t="str">
            <v>9830401U</v>
          </cell>
          <cell r="T25">
            <v>19.100000000000001</v>
          </cell>
          <cell r="U25">
            <v>0.20547945205479257</v>
          </cell>
          <cell r="W25" t="str">
            <v>9830693L</v>
          </cell>
          <cell r="X25">
            <v>86.4</v>
          </cell>
          <cell r="Y25">
            <v>-0.64220183486238147</v>
          </cell>
          <cell r="AA25" t="str">
            <v>9830006P</v>
          </cell>
          <cell r="AB25">
            <v>2.2999999999999998</v>
          </cell>
          <cell r="AC25">
            <v>0.24000000000000021</v>
          </cell>
          <cell r="AE25" t="str">
            <v>9830006P</v>
          </cell>
          <cell r="AF25">
            <v>71.599999999999994</v>
          </cell>
          <cell r="AG25">
            <v>0.19323671497584469</v>
          </cell>
        </row>
        <row r="26">
          <cell r="G26" t="str">
            <v>9830271C</v>
          </cell>
          <cell r="H26">
            <v>82.2</v>
          </cell>
          <cell r="I26">
            <v>0.32727272727272932</v>
          </cell>
          <cell r="K26" t="str">
            <v>9830483H</v>
          </cell>
          <cell r="L26">
            <v>26.2</v>
          </cell>
          <cell r="M26">
            <v>-0.75</v>
          </cell>
          <cell r="O26" t="str">
            <v>9830306R</v>
          </cell>
          <cell r="P26">
            <v>2.6</v>
          </cell>
          <cell r="Q26">
            <v>1.6666666666666667</v>
          </cell>
          <cell r="S26" t="str">
            <v>9830006P</v>
          </cell>
          <cell r="T26">
            <v>20.7</v>
          </cell>
          <cell r="U26">
            <v>-0.89041095890411015</v>
          </cell>
          <cell r="W26" t="str">
            <v>9830006P</v>
          </cell>
          <cell r="X26">
            <v>86.9</v>
          </cell>
          <cell r="Y26">
            <v>-0.41284403669724384</v>
          </cell>
          <cell r="AA26" t="str">
            <v>9830635Y</v>
          </cell>
          <cell r="AB26">
            <v>2.2999999999999998</v>
          </cell>
          <cell r="AC26">
            <v>0.24000000000000021</v>
          </cell>
          <cell r="AE26" t="str">
            <v>9830269A</v>
          </cell>
          <cell r="AF26">
            <v>72.5</v>
          </cell>
          <cell r="AG26">
            <v>0.41062801932367216</v>
          </cell>
        </row>
        <row r="27">
          <cell r="G27" t="str">
            <v>9830270B</v>
          </cell>
          <cell r="H27">
            <v>82.3</v>
          </cell>
          <cell r="I27">
            <v>0.36363636363636365</v>
          </cell>
          <cell r="K27" t="str">
            <v>9830460H</v>
          </cell>
          <cell r="L27">
            <v>30.6</v>
          </cell>
          <cell r="M27">
            <v>-1.8500000000000008</v>
          </cell>
          <cell r="O27" t="str">
            <v>9830270B</v>
          </cell>
          <cell r="P27">
            <v>2.66</v>
          </cell>
          <cell r="Q27">
            <v>2.1014492753623193</v>
          </cell>
          <cell r="S27" t="str">
            <v>9830693L</v>
          </cell>
          <cell r="T27">
            <v>22.4</v>
          </cell>
          <cell r="U27">
            <v>-2.0547945205479454</v>
          </cell>
          <cell r="W27" t="str">
            <v>9830306R</v>
          </cell>
          <cell r="X27">
            <v>88</v>
          </cell>
          <cell r="Y27">
            <v>9.1743119266056355E-2</v>
          </cell>
          <cell r="AA27" t="str">
            <v>9830460H</v>
          </cell>
          <cell r="AB27">
            <v>2.5</v>
          </cell>
          <cell r="AC27">
            <v>8.0000000000000071E-2</v>
          </cell>
          <cell r="AE27" t="str">
            <v>9830460H</v>
          </cell>
          <cell r="AF27">
            <v>75.900000000000006</v>
          </cell>
          <cell r="AG27">
            <v>1.2318840579710164</v>
          </cell>
        </row>
        <row r="28">
          <cell r="G28" t="str">
            <v>9830272D</v>
          </cell>
          <cell r="H28">
            <v>86.1</v>
          </cell>
          <cell r="I28">
            <v>1.7454545454545445</v>
          </cell>
          <cell r="K28" t="str">
            <v>9830271C</v>
          </cell>
          <cell r="L28">
            <v>30.9</v>
          </cell>
          <cell r="M28">
            <v>-1.925</v>
          </cell>
          <cell r="O28" t="str">
            <v>9830483H</v>
          </cell>
          <cell r="P28">
            <v>2.66</v>
          </cell>
          <cell r="Q28">
            <v>2.1014492753623193</v>
          </cell>
          <cell r="S28" t="str">
            <v>9830635Y</v>
          </cell>
          <cell r="T28">
            <v>22.6</v>
          </cell>
          <cell r="U28">
            <v>-2.1917808219178103</v>
          </cell>
          <cell r="W28" t="str">
            <v>9830271C</v>
          </cell>
          <cell r="X28">
            <v>90.9</v>
          </cell>
          <cell r="Y28">
            <v>1.4220183486238573</v>
          </cell>
          <cell r="AA28" t="str">
            <v>9830401U</v>
          </cell>
          <cell r="AB28">
            <v>3.2</v>
          </cell>
          <cell r="AC28">
            <v>-0.48000000000000009</v>
          </cell>
          <cell r="AE28" t="str">
            <v>9830272D</v>
          </cell>
          <cell r="AF28">
            <v>80</v>
          </cell>
          <cell r="AG28">
            <v>2.2222222222222228</v>
          </cell>
        </row>
        <row r="29">
          <cell r="G29" t="str">
            <v>9830003L</v>
          </cell>
          <cell r="H29">
            <v>86.1</v>
          </cell>
          <cell r="I29">
            <v>1.7454545454545445</v>
          </cell>
          <cell r="K29" t="str">
            <v>9830294C</v>
          </cell>
          <cell r="L29">
            <v>31.3</v>
          </cell>
          <cell r="M29">
            <v>-2.0250000000000004</v>
          </cell>
          <cell r="O29" t="str">
            <v>9830294C</v>
          </cell>
          <cell r="P29">
            <v>2.88</v>
          </cell>
          <cell r="Q29">
            <v>4.5</v>
          </cell>
          <cell r="S29" t="str">
            <v>9830003L</v>
          </cell>
          <cell r="T29">
            <v>22.9</v>
          </cell>
          <cell r="U29">
            <v>-2.2000000000000002</v>
          </cell>
          <cell r="W29" t="str">
            <v>9830269A</v>
          </cell>
          <cell r="X29">
            <v>94.9</v>
          </cell>
          <cell r="Y29">
            <v>2.8</v>
          </cell>
          <cell r="AA29" t="str">
            <v>9830306R</v>
          </cell>
          <cell r="AB29">
            <v>3.3</v>
          </cell>
          <cell r="AC29">
            <v>-0.55999999999999983</v>
          </cell>
          <cell r="AE29" t="str">
            <v>9830270B</v>
          </cell>
          <cell r="AF29">
            <v>83.8</v>
          </cell>
          <cell r="AG29">
            <v>3.1400966183574877</v>
          </cell>
        </row>
        <row r="30">
          <cell r="G30" t="str">
            <v>9830693L</v>
          </cell>
          <cell r="H30">
            <v>87.6</v>
          </cell>
          <cell r="I30">
            <v>2.7</v>
          </cell>
          <cell r="K30" t="str">
            <v>9830377T</v>
          </cell>
          <cell r="L30">
            <v>33.799999999999997</v>
          </cell>
          <cell r="M30">
            <v>-2.8</v>
          </cell>
          <cell r="O30" t="str">
            <v>9830460H</v>
          </cell>
          <cell r="P30">
            <v>2.88</v>
          </cell>
          <cell r="Q30">
            <v>4.5</v>
          </cell>
          <cell r="S30" t="str">
            <v>9830269A</v>
          </cell>
          <cell r="T30">
            <v>23.1</v>
          </cell>
          <cell r="U30">
            <v>-3.3</v>
          </cell>
          <cell r="W30" t="str">
            <v>9830003L</v>
          </cell>
          <cell r="X30">
            <v>95.2</v>
          </cell>
          <cell r="Y30">
            <v>3.1</v>
          </cell>
          <cell r="AA30" t="str">
            <v>9830272D</v>
          </cell>
          <cell r="AB30">
            <v>6.1</v>
          </cell>
          <cell r="AC30">
            <v>-3.7</v>
          </cell>
          <cell r="AE30" t="str">
            <v>9830377T</v>
          </cell>
          <cell r="AF30">
            <v>87</v>
          </cell>
          <cell r="AG30">
            <v>2.4</v>
          </cell>
        </row>
        <row r="31">
          <cell r="G31" t="str">
            <v>9830269A</v>
          </cell>
          <cell r="H31">
            <v>90.2</v>
          </cell>
          <cell r="I31">
            <v>3.7</v>
          </cell>
          <cell r="K31" t="str">
            <v>9830270B</v>
          </cell>
          <cell r="L31">
            <v>34</v>
          </cell>
          <cell r="M31">
            <v>-2.8</v>
          </cell>
          <cell r="O31" t="str">
            <v>9830273E</v>
          </cell>
          <cell r="P31">
            <v>2.97</v>
          </cell>
          <cell r="Q31">
            <v>4.8</v>
          </cell>
          <cell r="S31" t="str">
            <v>9830271C</v>
          </cell>
          <cell r="T31">
            <v>23.6</v>
          </cell>
          <cell r="U31">
            <v>-3.6</v>
          </cell>
          <cell r="W31" t="str">
            <v>9830460H</v>
          </cell>
          <cell r="X31">
            <v>96.3</v>
          </cell>
          <cell r="Y31">
            <v>4.0999999999999996</v>
          </cell>
          <cell r="AA31" t="str">
            <v>9830377T</v>
          </cell>
          <cell r="AB31">
            <v>9.4</v>
          </cell>
          <cell r="AC31">
            <v>-4.5</v>
          </cell>
          <cell r="AE31" t="str">
            <v>9830693L</v>
          </cell>
          <cell r="AF31">
            <v>88.2</v>
          </cell>
          <cell r="AG31">
            <v>3.4</v>
          </cell>
        </row>
        <row r="32">
          <cell r="G32" t="str">
            <v>9830377T</v>
          </cell>
          <cell r="H32">
            <v>92.2</v>
          </cell>
          <cell r="I32">
            <v>5</v>
          </cell>
          <cell r="K32" t="str">
            <v>9830273E</v>
          </cell>
          <cell r="L32">
            <v>40</v>
          </cell>
          <cell r="M32">
            <v>-5</v>
          </cell>
          <cell r="O32" t="str">
            <v>9830299H</v>
          </cell>
          <cell r="P32">
            <v>3.3</v>
          </cell>
          <cell r="Q32">
            <v>5</v>
          </cell>
          <cell r="S32" t="str">
            <v>9830377T</v>
          </cell>
          <cell r="T32">
            <v>26</v>
          </cell>
          <cell r="U32">
            <v>-5</v>
          </cell>
          <cell r="W32" t="str">
            <v>9830401U</v>
          </cell>
          <cell r="X32">
            <v>96.8</v>
          </cell>
          <cell r="Y32">
            <v>5</v>
          </cell>
          <cell r="AA32" t="str">
            <v>9830299H</v>
          </cell>
          <cell r="AB32">
            <v>12.5</v>
          </cell>
          <cell r="AC32">
            <v>-5</v>
          </cell>
          <cell r="AE32" t="str">
            <v>9830483H</v>
          </cell>
          <cell r="AF32">
            <v>94.7</v>
          </cell>
          <cell r="AG32">
            <v>5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e.9830003l@ac-noumea.nc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ce.9830003l@ac-noumea.nc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Y143"/>
  <sheetViews>
    <sheetView tabSelected="1" workbookViewId="0">
      <selection activeCell="B1" sqref="B1:I1"/>
    </sheetView>
  </sheetViews>
  <sheetFormatPr baseColWidth="10" defaultColWidth="11.44140625" defaultRowHeight="13.2"/>
  <cols>
    <col min="1" max="1" width="4.6640625" style="2" customWidth="1"/>
    <col min="2" max="2" width="19.6640625" style="2" customWidth="1"/>
    <col min="3" max="3" width="11.44140625" style="2"/>
    <col min="4" max="4" width="13.44140625" style="2" customWidth="1"/>
    <col min="5" max="6" width="13.5546875" style="2" customWidth="1"/>
    <col min="7" max="8" width="7.109375" style="2" customWidth="1"/>
    <col min="9" max="9" width="13.5546875" style="2" customWidth="1"/>
    <col min="10" max="16384" width="11.44140625" style="2"/>
  </cols>
  <sheetData>
    <row r="1" spans="2:18" ht="15.6">
      <c r="B1" s="112" t="s">
        <v>129</v>
      </c>
      <c r="C1" s="112"/>
      <c r="D1" s="112"/>
      <c r="E1" s="112"/>
      <c r="F1" s="112"/>
      <c r="G1" s="112"/>
      <c r="H1" s="112"/>
      <c r="I1" s="112"/>
      <c r="K1" s="48" t="s">
        <v>198</v>
      </c>
      <c r="L1" s="49"/>
      <c r="M1" s="49"/>
      <c r="N1" s="49"/>
      <c r="O1" s="49"/>
      <c r="P1" s="49"/>
      <c r="Q1" s="49"/>
      <c r="R1" s="26"/>
    </row>
    <row r="3" spans="2:18" ht="13.8">
      <c r="B3" s="30" t="str">
        <f>VLOOKUP(B1,Base_lyc!A2:B11,2,FALSE)</f>
        <v>9830002K</v>
      </c>
      <c r="D3" s="23"/>
      <c r="E3" s="2" t="s">
        <v>31</v>
      </c>
      <c r="F3" s="29" t="str">
        <f>VLOOKUP(B3,Base_lyc!B2:D11,3,FALSE)</f>
        <v>Nouméa</v>
      </c>
    </row>
    <row r="6" spans="2:18" ht="3" customHeight="1"/>
    <row r="7" spans="2:18" ht="15.6" hidden="1">
      <c r="B7" s="4" t="s">
        <v>19</v>
      </c>
      <c r="C7" s="4"/>
      <c r="D7" s="4"/>
      <c r="E7" s="4"/>
      <c r="F7" s="4"/>
      <c r="G7" s="4"/>
      <c r="H7" s="4"/>
    </row>
    <row r="8" spans="2:18" hidden="1"/>
    <row r="9" spans="2:18" hidden="1">
      <c r="B9" s="2" t="s">
        <v>31</v>
      </c>
      <c r="C9" s="2" t="s">
        <v>29</v>
      </c>
      <c r="E9" s="20" t="s">
        <v>41</v>
      </c>
      <c r="G9" s="2" t="s">
        <v>40</v>
      </c>
    </row>
    <row r="10" spans="2:18" hidden="1">
      <c r="B10" s="2" t="s">
        <v>30</v>
      </c>
      <c r="C10" s="2" t="s">
        <v>36</v>
      </c>
      <c r="E10" s="20" t="s">
        <v>42</v>
      </c>
    </row>
    <row r="11" spans="2:18" hidden="1">
      <c r="B11" s="2" t="s">
        <v>26</v>
      </c>
      <c r="C11" s="2" t="s">
        <v>37</v>
      </c>
      <c r="E11" s="21" t="s">
        <v>43</v>
      </c>
    </row>
    <row r="12" spans="2:18" hidden="1">
      <c r="B12" s="2" t="s">
        <v>27</v>
      </c>
      <c r="C12" s="2" t="s">
        <v>38</v>
      </c>
      <c r="E12" s="21" t="s">
        <v>13</v>
      </c>
    </row>
    <row r="13" spans="2:18" hidden="1">
      <c r="B13" s="2" t="s">
        <v>28</v>
      </c>
      <c r="C13" s="10" t="s">
        <v>39</v>
      </c>
      <c r="E13" s="21"/>
    </row>
    <row r="14" spans="2:18" hidden="1">
      <c r="E14" s="21" t="s">
        <v>14</v>
      </c>
    </row>
    <row r="19" spans="2:9" ht="15.6">
      <c r="B19" s="11" t="s">
        <v>15</v>
      </c>
    </row>
    <row r="20" spans="2:9">
      <c r="E20" s="18">
        <v>2012</v>
      </c>
      <c r="F20" s="58">
        <v>2021</v>
      </c>
      <c r="G20" s="113">
        <v>2022</v>
      </c>
      <c r="H20" s="114"/>
      <c r="I20" s="58">
        <v>2023</v>
      </c>
    </row>
    <row r="21" spans="2:9">
      <c r="B21" s="2" t="s">
        <v>44</v>
      </c>
      <c r="E21" s="31">
        <f>VLOOKUP(B3,Base_lyc!B2:BP11,5,FALSE)</f>
        <v>1464</v>
      </c>
      <c r="F21" s="31">
        <f>VLOOKUP(B3,Base_lyc!B2:BP11,7,FALSE)</f>
        <v>1160</v>
      </c>
      <c r="G21" s="115">
        <f>VLOOKUP(B3,Base_lyc!B2:BP11,9,FALSE)</f>
        <v>1094</v>
      </c>
      <c r="H21" s="116"/>
      <c r="I21" s="31">
        <f>VLOOKUP(B3,Base_lyc!B2:BP11,11,FALSE)</f>
        <v>1112</v>
      </c>
    </row>
    <row r="22" spans="2:9" s="9" customFormat="1">
      <c r="B22" s="9" t="s">
        <v>45</v>
      </c>
      <c r="E22" s="31">
        <f>VLOOKUP(B3,Base_lyc!B2:BP11,6,FALSE)</f>
        <v>379</v>
      </c>
      <c r="F22" s="31">
        <f>VLOOKUP(B3,Base_lyc!B2:BP11,8,FALSE)</f>
        <v>492</v>
      </c>
      <c r="G22" s="115">
        <f>VLOOKUP(B3,Base_lyc!B2:BP11,10,FALSE)</f>
        <v>497</v>
      </c>
      <c r="H22" s="116"/>
      <c r="I22" s="31">
        <f>VLOOKUP(B3,Base_lyc!B2:BP11,12,FALSE)</f>
        <v>495</v>
      </c>
    </row>
    <row r="27" spans="2:9">
      <c r="C27" s="30">
        <v>2012</v>
      </c>
      <c r="D27" s="30">
        <f>F20</f>
        <v>2021</v>
      </c>
      <c r="E27" s="30">
        <f>G20</f>
        <v>2022</v>
      </c>
      <c r="F27" s="30">
        <f>I20</f>
        <v>2023</v>
      </c>
    </row>
    <row r="28" spans="2:9">
      <c r="C28" s="39">
        <f>E21</f>
        <v>1464</v>
      </c>
      <c r="D28" s="39">
        <f>F21</f>
        <v>1160</v>
      </c>
      <c r="E28" s="39">
        <f>G21</f>
        <v>1094</v>
      </c>
      <c r="F28" s="39">
        <f>I21</f>
        <v>1112</v>
      </c>
    </row>
    <row r="39" spans="2:9" ht="15.6">
      <c r="B39" s="5" t="s">
        <v>208</v>
      </c>
      <c r="C39" s="3"/>
      <c r="D39" s="3"/>
      <c r="E39" s="3"/>
      <c r="F39" s="3"/>
      <c r="G39" s="3"/>
      <c r="H39" s="3"/>
    </row>
    <row r="40" spans="2:9">
      <c r="F40" s="103" t="s">
        <v>229</v>
      </c>
      <c r="G40" s="103"/>
      <c r="H40" s="103"/>
      <c r="I40" s="103"/>
    </row>
    <row r="41" spans="2:9">
      <c r="F41" s="18" t="s">
        <v>17</v>
      </c>
      <c r="G41" s="93" t="str">
        <f>VLOOKUP(B3,Base_lyc!B2:BP11,2,FALSE)</f>
        <v>Public</v>
      </c>
      <c r="H41" s="94"/>
      <c r="I41" s="45" t="s">
        <v>197</v>
      </c>
    </row>
    <row r="42" spans="2:9">
      <c r="B42" s="2" t="s">
        <v>214</v>
      </c>
      <c r="F42" s="60">
        <f>VLOOKUP(B3,Base_lyc!B2:BP11,13,FALSE)</f>
        <v>-2.1</v>
      </c>
      <c r="G42" s="101">
        <f>VLOOKUP(B3,Base_lyc!B2:BP11,14,FALSE)</f>
        <v>4.9000000000000004</v>
      </c>
      <c r="H42" s="102"/>
      <c r="I42" s="60">
        <f>VLOOKUP(B3,Base_lyc!B2:BP11,15,FALSE)</f>
        <v>3.1</v>
      </c>
    </row>
    <row r="43" spans="2:9">
      <c r="B43" s="2" t="s">
        <v>218</v>
      </c>
      <c r="F43" s="60">
        <f>VLOOKUP(B3,Base_lyc!B2:BP11,16,FALSE)</f>
        <v>21.4</v>
      </c>
      <c r="G43" s="101">
        <f>VLOOKUP(B3,Base_lyc!B2:BP11,17,FALSE)</f>
        <v>34.4</v>
      </c>
      <c r="H43" s="102"/>
      <c r="I43" s="60">
        <f>VLOOKUP(B3,Base_lyc!B2:BP11,18,FALSE)</f>
        <v>33</v>
      </c>
    </row>
    <row r="44" spans="2:9">
      <c r="B44" s="2" t="s">
        <v>219</v>
      </c>
      <c r="F44" s="60">
        <f>VLOOKUP(B3,Base_lyc!B2:BP11,19,FALSE)</f>
        <v>37.1</v>
      </c>
      <c r="G44" s="101">
        <f>VLOOKUP(B3,Base_lyc!B2:BP11,20,FALSE)</f>
        <v>25.5</v>
      </c>
      <c r="H44" s="102"/>
      <c r="I44" s="60">
        <f>VLOOKUP(B3,Base_lyc!B2:BP11,21,FALSE)</f>
        <v>26.1</v>
      </c>
    </row>
    <row r="45" spans="2:9">
      <c r="B45" s="2" t="s">
        <v>220</v>
      </c>
      <c r="F45" s="60">
        <f>VLOOKUP(B3,Base_lyc!B2:BP11,22,FALSE)</f>
        <v>127.1</v>
      </c>
      <c r="G45" s="101">
        <f>VLOOKUP(B3,Base_lyc!B2:BP11,23,FALSE)</f>
        <v>106.9</v>
      </c>
      <c r="H45" s="102"/>
      <c r="I45" s="60">
        <f>VLOOKUP(B3,Base_lyc!B2:BP11,24,FALSE)</f>
        <v>108.2</v>
      </c>
    </row>
    <row r="46" spans="2:9">
      <c r="B46" s="2" t="s">
        <v>227</v>
      </c>
      <c r="F46" s="60">
        <f>VLOOKUP(B3,Base_lyc!BQ2:BT11,2,FALSE)</f>
        <v>8.2266910420475323</v>
      </c>
      <c r="G46" s="101">
        <f>VLOOKUP(B3,Base_lyc!BQ2:BT11,3,FALSE)</f>
        <v>25.1</v>
      </c>
      <c r="H46" s="102"/>
      <c r="I46" s="60">
        <f>VLOOKUP(B3,Base_lyc!BQ2:BT11,4,FALSE)</f>
        <v>24</v>
      </c>
    </row>
    <row r="47" spans="2:9">
      <c r="B47" s="2" t="s">
        <v>46</v>
      </c>
      <c r="F47" s="60">
        <f>VLOOKUP(B3,Base_lyc!B2:BP11,25,FALSE)</f>
        <v>9.8000000000000007</v>
      </c>
      <c r="G47" s="101">
        <f>VLOOKUP(B3,Base_lyc!B2:BP11,26,FALSE)</f>
        <v>9.1</v>
      </c>
      <c r="H47" s="102"/>
      <c r="I47" s="60">
        <f>VLOOKUP(B3,Base_lyc!B2:BP11,27,FALSE)</f>
        <v>8.9</v>
      </c>
    </row>
    <row r="48" spans="2:9">
      <c r="B48" s="2" t="s">
        <v>240</v>
      </c>
      <c r="F48" s="7">
        <f>VLOOKUP(B3,Base_lyc!BQ2:BZ11,5,FALSE)</f>
        <v>93.9</v>
      </c>
      <c r="G48" s="117">
        <f>VLOOKUP(B3,Base_lyc!BQ2:BZ11,6,FALSE)</f>
        <v>87.3</v>
      </c>
      <c r="H48" s="117"/>
      <c r="I48" s="7">
        <f>VLOOKUP(B3,Base_lyc!BQ2:BZ11,7,FALSE)</f>
        <v>88.4</v>
      </c>
    </row>
    <row r="49" spans="2:12">
      <c r="B49" s="2" t="s">
        <v>241</v>
      </c>
      <c r="F49" s="90">
        <f>VLOOKUP(B3,Base_lyc!BQ2:BZ11,8,FALSE)</f>
        <v>81.599999999999994</v>
      </c>
      <c r="G49" s="92">
        <f>VLOOKUP(B3,Base_lyc!BQ2:BZ11,9,FALSE)</f>
        <v>62.8</v>
      </c>
      <c r="H49" s="92"/>
      <c r="I49" s="90">
        <f>VLOOKUP(B3,Base_lyc!BQ2:BZ11,10,FALSE)</f>
        <v>62.8</v>
      </c>
    </row>
    <row r="50" spans="2:12" ht="16.5" hidden="1" customHeight="1">
      <c r="B50" s="15" t="s">
        <v>127</v>
      </c>
      <c r="C50" s="16"/>
      <c r="D50" s="16"/>
      <c r="E50" s="16"/>
      <c r="F50" s="16"/>
      <c r="G50" s="16"/>
      <c r="H50" s="16"/>
      <c r="I50" s="17" t="s">
        <v>6</v>
      </c>
    </row>
    <row r="51" spans="2:12" ht="19.5" hidden="1" customHeight="1">
      <c r="B51" s="12" t="s">
        <v>2</v>
      </c>
      <c r="C51" s="106" t="s">
        <v>1</v>
      </c>
      <c r="D51" s="107"/>
      <c r="E51" s="108" t="s">
        <v>3</v>
      </c>
      <c r="F51" s="109"/>
      <c r="G51" s="110" t="s">
        <v>4</v>
      </c>
      <c r="H51" s="110"/>
      <c r="I51" s="111"/>
    </row>
    <row r="52" spans="2:12" hidden="1">
      <c r="J52" s="32">
        <v>-6.5</v>
      </c>
      <c r="K52" s="41">
        <f>VLOOKUP(B3,Base_lyc!B36:C45,2,FALSE)</f>
        <v>0</v>
      </c>
      <c r="L52" s="32">
        <v>6.5</v>
      </c>
    </row>
    <row r="53" spans="2:12" hidden="1">
      <c r="J53" s="32">
        <v>0</v>
      </c>
      <c r="K53" s="32">
        <v>0</v>
      </c>
      <c r="L53" s="32">
        <v>0</v>
      </c>
    </row>
    <row r="54" spans="2:12" hidden="1">
      <c r="J54" s="13"/>
      <c r="K54" s="13"/>
      <c r="L54" s="13"/>
    </row>
    <row r="55" spans="2:12">
      <c r="J55" s="13"/>
      <c r="K55" s="13"/>
      <c r="L55" s="13"/>
    </row>
    <row r="56" spans="2:12">
      <c r="B56" s="47" t="s">
        <v>242</v>
      </c>
      <c r="J56" s="13"/>
      <c r="K56" s="13"/>
      <c r="L56" s="13"/>
    </row>
    <row r="57" spans="2:12">
      <c r="J57" s="13"/>
      <c r="K57" s="13"/>
      <c r="L57" s="13"/>
    </row>
    <row r="59" spans="2:12" ht="15.6">
      <c r="B59" s="5" t="s">
        <v>0</v>
      </c>
    </row>
    <row r="60" spans="2:12">
      <c r="F60" s="103" t="s">
        <v>229</v>
      </c>
      <c r="G60" s="103"/>
      <c r="H60" s="103"/>
      <c r="I60" s="103"/>
    </row>
    <row r="61" spans="2:12">
      <c r="F61" s="6" t="s">
        <v>17</v>
      </c>
      <c r="G61" s="93" t="str">
        <f>VLOOKUP(B3,Base_lyc!B2:BP11,2,FALSE)</f>
        <v>Public</v>
      </c>
      <c r="H61" s="94"/>
      <c r="I61" s="45" t="s">
        <v>197</v>
      </c>
    </row>
    <row r="62" spans="2:12">
      <c r="B62" s="2" t="s">
        <v>20</v>
      </c>
      <c r="F62" s="104">
        <f>VLOOKUP(B3,Base_lyc!B2:BP11,28,FALSE)</f>
        <v>1.5</v>
      </c>
      <c r="G62" s="97">
        <f>VLOOKUP(B3,Base_lyc!B2:BP11,29,FALSE)</f>
        <v>1.63</v>
      </c>
      <c r="H62" s="98"/>
      <c r="I62" s="104">
        <f>VLOOKUP(B3,Base_lyc!B2:BP11,30,FALSE)</f>
        <v>1.59</v>
      </c>
    </row>
    <row r="63" spans="2:12">
      <c r="B63" s="2" t="s">
        <v>47</v>
      </c>
      <c r="F63" s="105"/>
      <c r="G63" s="99"/>
      <c r="H63" s="100"/>
      <c r="I63" s="105"/>
    </row>
    <row r="64" spans="2:12">
      <c r="B64" s="2" t="s">
        <v>48</v>
      </c>
      <c r="F64" s="60">
        <f>VLOOKUP(B3,Base_lyc!B2:BP11,31,FALSE)</f>
        <v>28.8</v>
      </c>
      <c r="G64" s="101">
        <f>VLOOKUP(B3,Base_lyc!B2:BP11,32,FALSE)</f>
        <v>27.5</v>
      </c>
      <c r="H64" s="102"/>
      <c r="I64" s="82">
        <f>VLOOKUP(B3,Base_lyc!B2:BP11,33,FALSE)</f>
        <v>28.1</v>
      </c>
    </row>
    <row r="66" spans="2:12" ht="16.5" hidden="1" customHeight="1">
      <c r="B66" s="15" t="s">
        <v>128</v>
      </c>
      <c r="C66" s="16"/>
      <c r="D66" s="16"/>
      <c r="E66" s="16"/>
      <c r="F66" s="16"/>
      <c r="G66" s="16"/>
      <c r="H66" s="16"/>
      <c r="I66" s="17" t="s">
        <v>5</v>
      </c>
    </row>
    <row r="67" spans="2:12" ht="19.5" hidden="1" customHeight="1">
      <c r="B67" s="12" t="s">
        <v>2</v>
      </c>
      <c r="C67" s="106" t="s">
        <v>1</v>
      </c>
      <c r="D67" s="107"/>
      <c r="E67" s="108" t="s">
        <v>3</v>
      </c>
      <c r="F67" s="109"/>
      <c r="G67" s="110" t="s">
        <v>4</v>
      </c>
      <c r="H67" s="110"/>
      <c r="I67" s="111"/>
    </row>
    <row r="68" spans="2:12" hidden="1">
      <c r="J68" s="32">
        <v>-6.5</v>
      </c>
      <c r="K68" s="41" t="e">
        <f>VLOOKUP(B3,Base_lyc!B36:C45,3,FALSE)</f>
        <v>#REF!</v>
      </c>
      <c r="L68" s="32">
        <v>6.5</v>
      </c>
    </row>
    <row r="69" spans="2:12" hidden="1">
      <c r="J69" s="32">
        <v>0</v>
      </c>
      <c r="K69" s="32">
        <v>0</v>
      </c>
      <c r="L69" s="32">
        <v>0</v>
      </c>
    </row>
    <row r="70" spans="2:12" hidden="1">
      <c r="J70" s="13"/>
      <c r="K70" s="13"/>
      <c r="L70" s="13"/>
    </row>
    <row r="71" spans="2:12">
      <c r="J71" s="13"/>
      <c r="K71" s="13"/>
      <c r="L71" s="13"/>
    </row>
    <row r="72" spans="2:12">
      <c r="J72" s="13"/>
      <c r="K72" s="13"/>
      <c r="L72" s="13"/>
    </row>
    <row r="73" spans="2:12" ht="15.6">
      <c r="B73" s="5" t="s">
        <v>21</v>
      </c>
    </row>
    <row r="74" spans="2:12">
      <c r="F74" s="103" t="s">
        <v>229</v>
      </c>
      <c r="G74" s="103"/>
      <c r="H74" s="103"/>
      <c r="I74" s="103"/>
    </row>
    <row r="75" spans="2:12">
      <c r="F75" s="18" t="s">
        <v>17</v>
      </c>
      <c r="G75" s="93" t="str">
        <f>VLOOKUP(B3,Base_lyc!B2:BP11,2,FALSE)</f>
        <v>Public</v>
      </c>
      <c r="H75" s="94"/>
      <c r="I75" s="45" t="s">
        <v>197</v>
      </c>
    </row>
    <row r="76" spans="2:12" hidden="1">
      <c r="B76" s="2" t="s">
        <v>22</v>
      </c>
      <c r="F76" s="7">
        <f>VLOOKUP(B3,Base_lyc!B2:BP11,56,FALSE)</f>
        <v>0</v>
      </c>
      <c r="G76" s="95">
        <f>VLOOKUP(B3,Base_lyc!B2:BP11,57,FALSE)</f>
        <v>0</v>
      </c>
      <c r="H76" s="96"/>
      <c r="I76" s="7">
        <f>VLOOKUP(B3,Base_lyc!B2:BP11,58,FALSE)</f>
        <v>0</v>
      </c>
    </row>
    <row r="77" spans="2:12">
      <c r="B77" s="2" t="s">
        <v>23</v>
      </c>
      <c r="F77" s="60">
        <f>VLOOKUP(B3,Base_lyc!B2:BP11,59,FALSE)</f>
        <v>92.6</v>
      </c>
      <c r="G77" s="101">
        <f>VLOOKUP(B3,Base_lyc!B2:BP11,60,FALSE)</f>
        <v>88.3</v>
      </c>
      <c r="H77" s="102"/>
      <c r="I77" s="60">
        <f>VLOOKUP(B3,Base_lyc!B2:BP11,61,FALSE)</f>
        <v>85.9</v>
      </c>
    </row>
    <row r="78" spans="2:12">
      <c r="B78" s="2" t="s">
        <v>24</v>
      </c>
      <c r="F78" s="60">
        <f>VLOOKUP(B3,Base_lyc!B2:BP11,62,FALSE)</f>
        <v>7.9</v>
      </c>
      <c r="G78" s="101">
        <f>VLOOKUP(B3,Base_lyc!B2:BP11,63,FALSE)</f>
        <v>5.8</v>
      </c>
      <c r="H78" s="102"/>
      <c r="I78" s="60">
        <f>VLOOKUP(B3,Base_lyc!B2:BP11,64,FALSE)</f>
        <v>6.2</v>
      </c>
    </row>
    <row r="79" spans="2:12">
      <c r="B79" s="2" t="s">
        <v>25</v>
      </c>
      <c r="F79" s="60">
        <f>VLOOKUP(B3,Base_lyc!B2:BP11,65,FALSE)</f>
        <v>48.8</v>
      </c>
      <c r="G79" s="101">
        <f>VLOOKUP(B3,Base_lyc!B2:BP11,66,FALSE)</f>
        <v>45.5</v>
      </c>
      <c r="H79" s="102"/>
      <c r="I79" s="60">
        <f>VLOOKUP(B3,Base_lyc!B2:BP11,67,FALSE)</f>
        <v>46</v>
      </c>
    </row>
    <row r="86" spans="2:10" ht="15.6">
      <c r="B86" s="5" t="s">
        <v>7</v>
      </c>
    </row>
    <row r="87" spans="2:10">
      <c r="F87" s="103" t="s">
        <v>230</v>
      </c>
      <c r="G87" s="103"/>
      <c r="H87" s="103"/>
      <c r="I87" s="103"/>
    </row>
    <row r="88" spans="2:10">
      <c r="F88" s="18" t="s">
        <v>17</v>
      </c>
      <c r="G88" s="36" t="s">
        <v>10</v>
      </c>
      <c r="H88" s="18" t="str">
        <f>VLOOKUP(B3,Base_lyc!B2:BP11,2,FALSE)</f>
        <v>Public</v>
      </c>
      <c r="I88" s="45" t="s">
        <v>197</v>
      </c>
    </row>
    <row r="89" spans="2:10">
      <c r="B89" s="2" t="s">
        <v>199</v>
      </c>
      <c r="E89" s="19"/>
      <c r="F89" s="60">
        <f>VLOOKUP(B3,Base_lyc!B2:BP11,34,FALSE)</f>
        <v>90</v>
      </c>
      <c r="G89" s="61" t="s">
        <v>12</v>
      </c>
      <c r="H89" s="62">
        <f>VLOOKUP(B3,Base_lyc!B2:BP11,35,FALSE)</f>
        <v>89.1</v>
      </c>
      <c r="I89" s="60">
        <f>VLOOKUP(B3,Base_lyc!B2:BP11,36,FALSE)</f>
        <v>88.4</v>
      </c>
    </row>
    <row r="90" spans="2:10">
      <c r="B90" s="2" t="s">
        <v>200</v>
      </c>
      <c r="E90" s="19"/>
      <c r="F90" s="60">
        <f>VLOOKUP(B3,Base_lyc!B2:BP11,37,FALSE)</f>
        <v>0.8</v>
      </c>
      <c r="G90" s="61" t="s">
        <v>12</v>
      </c>
      <c r="H90" s="62">
        <f>VLOOKUP(B3,Base_lyc!B2:BP11,38,FALSE)</f>
        <v>3</v>
      </c>
      <c r="I90" s="60">
        <f>VLOOKUP(B3,Base_lyc!B2:BP11,39,FALSE)</f>
        <v>2.9</v>
      </c>
      <c r="J90" s="9"/>
    </row>
    <row r="91" spans="2:10">
      <c r="B91" s="2" t="s">
        <v>190</v>
      </c>
      <c r="E91" s="19"/>
      <c r="F91" s="60">
        <f>VLOOKUP(B3,Base_lyc!B2:BP11,40,FALSE)</f>
        <v>2.1</v>
      </c>
      <c r="G91" s="61" t="s">
        <v>12</v>
      </c>
      <c r="H91" s="62">
        <f>VLOOKUP(B3,Base_lyc!B2:BP11,41,FALSE)</f>
        <v>2.1</v>
      </c>
      <c r="I91" s="60">
        <f>VLOOKUP(B3,Base_lyc!B2:BP11,42,FALSE)</f>
        <v>3.4</v>
      </c>
    </row>
    <row r="92" spans="2:10">
      <c r="B92" s="2" t="s">
        <v>50</v>
      </c>
      <c r="E92" s="19"/>
      <c r="F92" s="60">
        <f>VLOOKUP(B3,Base_lyc!B2:BP11,43,FALSE)</f>
        <v>73</v>
      </c>
      <c r="G92" s="119">
        <f>VLOOKUP(B3,Base_lyc!B2:BP11,44,FALSE)</f>
        <v>-15</v>
      </c>
      <c r="H92" s="61" t="s">
        <v>12</v>
      </c>
      <c r="I92" s="61" t="s">
        <v>12</v>
      </c>
    </row>
    <row r="93" spans="2:10">
      <c r="B93" s="2" t="s">
        <v>51</v>
      </c>
      <c r="E93" s="19"/>
      <c r="F93" s="60">
        <f>VLOOKUP(B3,Base_lyc!B2:BP11,45,FALSE)</f>
        <v>87</v>
      </c>
      <c r="G93" s="119">
        <f>VLOOKUP(B3,Base_lyc!B2:BP11,46,FALSE)</f>
        <v>-9</v>
      </c>
      <c r="H93" s="61" t="s">
        <v>12</v>
      </c>
      <c r="I93" s="61" t="s">
        <v>12</v>
      </c>
    </row>
    <row r="94" spans="2:10">
      <c r="B94" s="2" t="s">
        <v>52</v>
      </c>
      <c r="E94" s="19"/>
      <c r="F94" s="60">
        <f>VLOOKUP(B3,Base_lyc!B2:BP11,47,FALSE)</f>
        <v>94</v>
      </c>
      <c r="G94" s="119">
        <f>VLOOKUP(B3,Base_lyc!B2:BP11,48,FALSE)</f>
        <v>-5</v>
      </c>
      <c r="H94" s="61" t="s">
        <v>12</v>
      </c>
      <c r="I94" s="61" t="s">
        <v>12</v>
      </c>
    </row>
    <row r="96" spans="2:10" hidden="1">
      <c r="B96" s="15" t="s">
        <v>179</v>
      </c>
      <c r="C96" s="16"/>
      <c r="D96" s="16"/>
      <c r="E96" s="16"/>
      <c r="F96" s="16"/>
      <c r="G96" s="16"/>
      <c r="H96" s="16"/>
      <c r="I96" s="17" t="s">
        <v>11</v>
      </c>
    </row>
    <row r="97" spans="2:25" ht="17.399999999999999" hidden="1">
      <c r="B97" s="12" t="s">
        <v>2</v>
      </c>
      <c r="C97" s="106" t="s">
        <v>1</v>
      </c>
      <c r="D97" s="107"/>
      <c r="E97" s="108" t="s">
        <v>3</v>
      </c>
      <c r="F97" s="109"/>
      <c r="G97" s="110" t="s">
        <v>4</v>
      </c>
      <c r="H97" s="110"/>
      <c r="I97" s="111"/>
    </row>
    <row r="98" spans="2:25" hidden="1">
      <c r="J98" s="32">
        <v>-6.5</v>
      </c>
      <c r="K98" s="41" t="e">
        <f>VLOOKUP(B3,Base_lyc!B36:C45,4,FALSE)</f>
        <v>#REF!</v>
      </c>
      <c r="L98" s="32">
        <v>6.5</v>
      </c>
    </row>
    <row r="99" spans="2:25" hidden="1">
      <c r="J99" s="32">
        <v>0</v>
      </c>
      <c r="K99" s="32">
        <v>0</v>
      </c>
      <c r="L99" s="32">
        <v>0</v>
      </c>
    </row>
    <row r="101" spans="2:25" ht="15.6">
      <c r="B101" s="5" t="s">
        <v>9</v>
      </c>
    </row>
    <row r="102" spans="2:25">
      <c r="F102" s="103" t="s">
        <v>229</v>
      </c>
      <c r="G102" s="103"/>
      <c r="H102" s="103"/>
      <c r="I102" s="103"/>
      <c r="J102" s="25"/>
    </row>
    <row r="103" spans="2:25">
      <c r="F103" s="24" t="s">
        <v>17</v>
      </c>
      <c r="G103" s="6" t="s">
        <v>10</v>
      </c>
      <c r="H103" s="38" t="str">
        <f>VLOOKUP(B3,Base_lyc!B2:BP11,2,FALSE)</f>
        <v>Public</v>
      </c>
      <c r="I103" s="45" t="s">
        <v>197</v>
      </c>
    </row>
    <row r="104" spans="2:25">
      <c r="B104" s="2" t="s">
        <v>175</v>
      </c>
      <c r="E104" s="19"/>
      <c r="F104" s="60">
        <f>VLOOKUP(B3,Base_lyc!B2:BP11,49,FALSE)</f>
        <v>95.170454545454547</v>
      </c>
      <c r="G104" s="118">
        <f>VLOOKUP(B3,Base_lyc!B2:BP11,50,FALSE)</f>
        <v>-3</v>
      </c>
      <c r="H104" s="60">
        <f>VLOOKUP(B3,Base_lyc!B2:BP11,51,FALSE)</f>
        <v>87.342657342657333</v>
      </c>
      <c r="I104" s="60">
        <f>VLOOKUP(B3,Base_lyc!B2:BP11,52,FALSE)</f>
        <v>87.606623181133969</v>
      </c>
    </row>
    <row r="105" spans="2:25">
      <c r="B105" s="2" t="s">
        <v>49</v>
      </c>
      <c r="E105" s="19"/>
      <c r="F105" s="60">
        <f>VLOOKUP(B3,Base_lyc!B2:BP11,53,FALSE)</f>
        <v>75.661375661375658</v>
      </c>
      <c r="G105" s="61" t="s">
        <v>12</v>
      </c>
      <c r="H105" s="62">
        <f>VLOOKUP(B3,Base_lyc!B2:BP11,54,FALSE)</f>
        <v>77.272727272727266</v>
      </c>
      <c r="I105" s="60">
        <f>VLOOKUP(B3,Base_lyc!B2:BP11,55,FALSE)</f>
        <v>76.719576719576722</v>
      </c>
    </row>
    <row r="108" spans="2:25" ht="15.6">
      <c r="B108" s="8" t="s">
        <v>8</v>
      </c>
    </row>
    <row r="109" spans="2:25">
      <c r="Y109" s="22"/>
    </row>
    <row r="112" spans="2:25">
      <c r="K112" s="65"/>
      <c r="L112" s="65"/>
      <c r="M112" s="65"/>
      <c r="N112" s="65"/>
      <c r="O112" s="65"/>
      <c r="P112" s="66"/>
      <c r="Q112" s="67"/>
      <c r="R112" s="67"/>
      <c r="S112" s="59"/>
      <c r="T112" s="65"/>
      <c r="U112" s="34"/>
      <c r="V112" s="34"/>
    </row>
    <row r="113" spans="10:25">
      <c r="K113" s="65"/>
      <c r="L113" s="59"/>
      <c r="M113" s="59"/>
      <c r="N113" s="59"/>
      <c r="O113" s="65"/>
      <c r="P113" s="66"/>
      <c r="Q113" s="59"/>
      <c r="R113" s="59"/>
      <c r="S113" s="59"/>
      <c r="T113" s="59"/>
      <c r="U113" s="34"/>
      <c r="V113" s="34"/>
    </row>
    <row r="114" spans="10:25">
      <c r="J114" s="1" t="s">
        <v>196</v>
      </c>
      <c r="K114" s="1"/>
      <c r="L114" s="1"/>
      <c r="M114" s="1"/>
      <c r="N114" s="1"/>
      <c r="O114" s="1"/>
      <c r="P114" s="1"/>
      <c r="Q114" s="1"/>
      <c r="R114" s="1"/>
      <c r="S114" s="1"/>
      <c r="T114" s="9"/>
      <c r="U114" s="9"/>
      <c r="V114" s="9"/>
    </row>
    <row r="115" spans="10:25" ht="52.8">
      <c r="J115" s="57" t="s">
        <v>8</v>
      </c>
      <c r="K115" s="42" t="s">
        <v>213</v>
      </c>
      <c r="L115" s="42" t="s">
        <v>207</v>
      </c>
      <c r="M115" s="42" t="s">
        <v>53</v>
      </c>
      <c r="N115" s="42" t="s">
        <v>32</v>
      </c>
      <c r="O115" s="43" t="s">
        <v>34</v>
      </c>
      <c r="P115" s="42" t="s">
        <v>54</v>
      </c>
      <c r="Q115" s="42" t="s">
        <v>55</v>
      </c>
      <c r="R115" s="42" t="s">
        <v>180</v>
      </c>
      <c r="S115" s="42" t="s">
        <v>33</v>
      </c>
      <c r="T115" s="64"/>
      <c r="U115" s="64"/>
      <c r="V115" s="64"/>
      <c r="Y115" s="13"/>
    </row>
    <row r="116" spans="10:25">
      <c r="J116" s="1" t="s">
        <v>17</v>
      </c>
      <c r="K116" s="44">
        <f>VLOOKUP(B3,Base_lyc!B36:O45,5,FALSE)</f>
        <v>5</v>
      </c>
      <c r="L116" s="44">
        <f>VLOOKUP(B3,Base_lyc!B36:O45,6,FALSE)</f>
        <v>5</v>
      </c>
      <c r="M116" s="44">
        <f>VLOOKUP(B3,Base_lyc!B36:O45,7,FALSE)</f>
        <v>-0.52325581395348864</v>
      </c>
      <c r="N116" s="44">
        <f>VLOOKUP(B3,Base_lyc!B36:O45,8,FALSE)</f>
        <v>-1.2000000000000011</v>
      </c>
      <c r="O116" s="44">
        <f>VLOOKUP(B3,Base_lyc!B36:O45,9,FALSE)</f>
        <v>-0.63636363636363569</v>
      </c>
      <c r="P116" s="44">
        <f>VLOOKUP(B3,Base_lyc!B36:O45,10,FALSE)</f>
        <v>3.9</v>
      </c>
      <c r="Q116" s="44">
        <f>VLOOKUP(B3,Base_lyc!B36:O45,11,FALSE)</f>
        <v>0.58295964125560529</v>
      </c>
      <c r="R116" s="44">
        <f>VLOOKUP(B3,Base_lyc!B36:O45,12,FALSE)</f>
        <v>2.5795053003533561</v>
      </c>
      <c r="S116" s="44">
        <f>VLOOKUP(B3,Base_lyc!B36:O45,13,FALSE)</f>
        <v>3.9</v>
      </c>
      <c r="T116" s="65"/>
      <c r="U116" s="59"/>
      <c r="V116" s="59"/>
      <c r="Y116" s="34"/>
    </row>
    <row r="117" spans="10:25">
      <c r="J117" s="1" t="s">
        <v>197</v>
      </c>
      <c r="K117" s="43">
        <v>0</v>
      </c>
      <c r="L117" s="43">
        <v>0</v>
      </c>
      <c r="M117" s="43">
        <v>0</v>
      </c>
      <c r="N117" s="43">
        <v>0</v>
      </c>
      <c r="O117" s="43">
        <v>0</v>
      </c>
      <c r="P117" s="43">
        <v>0</v>
      </c>
      <c r="Q117" s="43">
        <v>0</v>
      </c>
      <c r="R117" s="43">
        <v>0</v>
      </c>
      <c r="S117" s="43">
        <v>0</v>
      </c>
      <c r="T117" s="59"/>
      <c r="U117" s="59"/>
      <c r="V117" s="59"/>
    </row>
    <row r="127" spans="10:25">
      <c r="K127" s="13"/>
      <c r="L127" s="13"/>
      <c r="M127" s="13"/>
      <c r="N127" s="13"/>
      <c r="O127" s="13"/>
      <c r="P127" s="13"/>
      <c r="Q127" s="13"/>
      <c r="R127" s="13"/>
      <c r="S127" s="13"/>
      <c r="T127" s="13"/>
    </row>
    <row r="128" spans="10:25">
      <c r="K128" s="13"/>
      <c r="L128" s="13"/>
      <c r="M128" s="13"/>
      <c r="N128" s="13"/>
      <c r="O128" s="13"/>
      <c r="P128" s="13"/>
      <c r="Q128" s="13"/>
      <c r="R128" s="13"/>
      <c r="S128" s="13"/>
      <c r="T128" s="13"/>
    </row>
    <row r="129" spans="11:22">
      <c r="K129" s="13"/>
      <c r="L129" s="13"/>
      <c r="M129" s="13"/>
      <c r="N129" s="13"/>
      <c r="O129" s="13"/>
      <c r="P129" s="13"/>
      <c r="Q129" s="13"/>
      <c r="R129" s="13"/>
      <c r="S129" s="13"/>
      <c r="T129" s="13"/>
    </row>
    <row r="130" spans="11:22">
      <c r="K130" s="13"/>
      <c r="L130" s="13"/>
      <c r="M130" s="13"/>
      <c r="N130" s="13"/>
      <c r="O130" s="13"/>
      <c r="P130" s="13"/>
      <c r="Q130" s="13"/>
      <c r="R130" s="13"/>
      <c r="S130" s="13"/>
      <c r="T130" s="40"/>
    </row>
    <row r="131" spans="11:22">
      <c r="K131" s="13"/>
      <c r="L131" s="13"/>
      <c r="M131" s="13"/>
      <c r="N131" s="13"/>
      <c r="O131" s="13"/>
      <c r="P131" s="13"/>
      <c r="Q131" s="13"/>
      <c r="R131" s="13"/>
      <c r="S131" s="13"/>
      <c r="T131" s="40"/>
    </row>
    <row r="132" spans="11:22">
      <c r="K132" s="13"/>
      <c r="L132" s="13"/>
      <c r="M132" s="13"/>
      <c r="N132" s="13"/>
      <c r="O132" s="13"/>
      <c r="P132" s="13"/>
      <c r="Q132" s="13"/>
      <c r="R132" s="13"/>
      <c r="S132" s="13"/>
      <c r="T132" s="13"/>
      <c r="U132" s="13"/>
      <c r="V132" s="13"/>
    </row>
    <row r="133" spans="11:22">
      <c r="K133" s="13"/>
      <c r="L133" s="13"/>
      <c r="M133" s="13"/>
      <c r="N133" s="13"/>
      <c r="O133" s="13"/>
      <c r="P133" s="13"/>
      <c r="Q133" s="13"/>
      <c r="R133" s="13"/>
      <c r="S133" s="13"/>
      <c r="T133" s="13"/>
      <c r="U133" s="13"/>
      <c r="V133" s="13"/>
    </row>
    <row r="134" spans="11:22">
      <c r="K134" s="13"/>
      <c r="L134" s="13"/>
      <c r="M134" s="13"/>
      <c r="N134" s="13"/>
      <c r="O134" s="13"/>
      <c r="P134" s="13"/>
      <c r="Q134" s="13"/>
      <c r="R134" s="13"/>
      <c r="S134" s="13"/>
      <c r="T134" s="13"/>
      <c r="U134" s="13"/>
      <c r="V134" s="13"/>
    </row>
    <row r="135" spans="11:22">
      <c r="K135" s="13"/>
      <c r="L135" s="13"/>
      <c r="M135" s="13"/>
      <c r="N135" s="13"/>
      <c r="O135" s="13"/>
      <c r="P135" s="13"/>
      <c r="Q135" s="13"/>
      <c r="R135" s="13"/>
      <c r="S135" s="13"/>
      <c r="T135" s="40"/>
      <c r="U135" s="13"/>
      <c r="V135" s="13"/>
    </row>
    <row r="136" spans="11:22">
      <c r="K136" s="13"/>
      <c r="L136" s="13"/>
      <c r="M136" s="13"/>
      <c r="N136" s="13"/>
      <c r="O136" s="13"/>
      <c r="P136" s="13"/>
      <c r="Q136" s="13"/>
      <c r="R136" s="13"/>
      <c r="S136" s="40"/>
      <c r="T136" s="40"/>
      <c r="U136" s="13"/>
      <c r="V136" s="13"/>
    </row>
    <row r="137" spans="11:22">
      <c r="K137" s="13"/>
      <c r="L137" s="13"/>
      <c r="M137" s="13"/>
      <c r="N137" s="13"/>
      <c r="O137" s="13"/>
      <c r="P137" s="13"/>
      <c r="Q137" s="13"/>
      <c r="R137" s="13"/>
      <c r="S137" s="13"/>
      <c r="T137" s="13"/>
      <c r="U137" s="13"/>
      <c r="V137" s="13"/>
    </row>
    <row r="138" spans="11:22">
      <c r="K138" s="13"/>
      <c r="L138" s="13"/>
      <c r="M138" s="13"/>
      <c r="N138" s="13"/>
      <c r="O138" s="13"/>
      <c r="P138" s="13"/>
      <c r="Q138" s="13"/>
      <c r="R138" s="13"/>
      <c r="S138" s="13"/>
      <c r="T138" s="13"/>
      <c r="U138" s="13"/>
      <c r="V138" s="13"/>
    </row>
    <row r="139" spans="11:22">
      <c r="K139" s="13"/>
      <c r="L139" s="13"/>
      <c r="M139" s="13"/>
      <c r="N139" s="13"/>
      <c r="O139" s="13"/>
      <c r="P139" s="13"/>
      <c r="Q139" s="13"/>
      <c r="R139" s="13"/>
      <c r="S139" s="13"/>
      <c r="T139" s="13"/>
      <c r="U139" s="13"/>
      <c r="V139" s="13"/>
    </row>
    <row r="140" spans="11:22">
      <c r="K140" s="13"/>
      <c r="L140" s="13"/>
      <c r="M140" s="13"/>
      <c r="N140" s="13"/>
      <c r="O140" s="13"/>
      <c r="P140" s="13"/>
      <c r="Q140" s="13"/>
      <c r="R140" s="13"/>
      <c r="S140" s="13"/>
      <c r="T140" s="13"/>
      <c r="U140" s="13"/>
      <c r="V140" s="13"/>
    </row>
    <row r="141" spans="11:22">
      <c r="K141" s="13"/>
      <c r="L141" s="13"/>
      <c r="M141" s="13"/>
      <c r="N141" s="13"/>
      <c r="O141" s="13"/>
      <c r="P141" s="13"/>
      <c r="Q141" s="13"/>
      <c r="R141" s="13"/>
      <c r="S141" s="13"/>
      <c r="T141" s="13"/>
      <c r="U141" s="13"/>
      <c r="V141" s="13"/>
    </row>
    <row r="142" spans="11:22">
      <c r="K142" s="13"/>
      <c r="L142" s="13"/>
      <c r="M142" s="13"/>
      <c r="N142" s="13"/>
      <c r="O142" s="13"/>
      <c r="P142" s="13"/>
      <c r="Q142" s="13"/>
      <c r="R142" s="13"/>
      <c r="S142" s="13"/>
      <c r="T142" s="13"/>
      <c r="U142" s="13"/>
      <c r="V142" s="13"/>
    </row>
    <row r="143" spans="11:22">
      <c r="K143" s="13"/>
      <c r="L143" s="13"/>
      <c r="M143" s="13"/>
      <c r="N143" s="13"/>
      <c r="O143" s="13"/>
      <c r="P143" s="13"/>
      <c r="Q143" s="13"/>
      <c r="R143" s="13"/>
      <c r="S143" s="13"/>
      <c r="T143" s="13"/>
      <c r="U143" s="27"/>
      <c r="V143" s="27"/>
    </row>
  </sheetData>
  <mergeCells count="37">
    <mergeCell ref="B1:I1"/>
    <mergeCell ref="F40:I40"/>
    <mergeCell ref="C51:D51"/>
    <mergeCell ref="E51:F51"/>
    <mergeCell ref="G51:I51"/>
    <mergeCell ref="G20:H20"/>
    <mergeCell ref="G21:H21"/>
    <mergeCell ref="G22:H22"/>
    <mergeCell ref="G41:H41"/>
    <mergeCell ref="G42:H42"/>
    <mergeCell ref="G43:H43"/>
    <mergeCell ref="G44:H44"/>
    <mergeCell ref="G45:H45"/>
    <mergeCell ref="G47:H47"/>
    <mergeCell ref="G46:H46"/>
    <mergeCell ref="G48:H48"/>
    <mergeCell ref="F102:I102"/>
    <mergeCell ref="C67:D67"/>
    <mergeCell ref="E67:F67"/>
    <mergeCell ref="G67:I67"/>
    <mergeCell ref="F87:I87"/>
    <mergeCell ref="C97:D97"/>
    <mergeCell ref="E97:F97"/>
    <mergeCell ref="G97:I97"/>
    <mergeCell ref="F74:I74"/>
    <mergeCell ref="G79:H79"/>
    <mergeCell ref="G77:H77"/>
    <mergeCell ref="G78:H78"/>
    <mergeCell ref="G49:H49"/>
    <mergeCell ref="G61:H61"/>
    <mergeCell ref="G75:H75"/>
    <mergeCell ref="G76:H76"/>
    <mergeCell ref="G62:H63"/>
    <mergeCell ref="G64:H64"/>
    <mergeCell ref="F60:I60"/>
    <mergeCell ref="F62:F63"/>
    <mergeCell ref="I62:I63"/>
  </mergeCells>
  <hyperlinks>
    <hyperlink ref="C13" r:id="rId1"/>
  </hyperlinks>
  <pageMargins left="0.23622047244094491" right="0.23622047244094491" top="0.35433070866141736" bottom="0.35433070866141736" header="0.31496062992125984" footer="0.31496062992125984"/>
  <pageSetup paperSize="9" scale="97" fitToHeight="0" orientation="portrait" r:id="rId2"/>
  <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Base_lyc!$A$2:$A$11</xm:f>
          </x14:formula1>
          <xm:sqref>B1:I1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Y146"/>
  <sheetViews>
    <sheetView workbookViewId="0">
      <selection activeCell="B1" sqref="B1:I1"/>
    </sheetView>
  </sheetViews>
  <sheetFormatPr baseColWidth="10" defaultColWidth="11.44140625" defaultRowHeight="13.2"/>
  <cols>
    <col min="1" max="1" width="4.6640625" style="2" customWidth="1"/>
    <col min="2" max="2" width="19.6640625" style="2" customWidth="1"/>
    <col min="3" max="3" width="11.44140625" style="2"/>
    <col min="4" max="4" width="13.44140625" style="2" customWidth="1"/>
    <col min="5" max="6" width="13.5546875" style="2" customWidth="1"/>
    <col min="7" max="8" width="7.109375" style="2" customWidth="1"/>
    <col min="9" max="9" width="13.5546875" style="2" customWidth="1"/>
    <col min="10" max="16384" width="11.44140625" style="2"/>
  </cols>
  <sheetData>
    <row r="1" spans="2:18" ht="15.6">
      <c r="B1" s="112" t="s">
        <v>131</v>
      </c>
      <c r="C1" s="112"/>
      <c r="D1" s="112"/>
      <c r="E1" s="112"/>
      <c r="F1" s="112"/>
      <c r="G1" s="112"/>
      <c r="H1" s="112"/>
      <c r="I1" s="112"/>
      <c r="K1" s="48" t="s">
        <v>198</v>
      </c>
      <c r="L1" s="49"/>
      <c r="M1" s="49"/>
      <c r="N1" s="49"/>
      <c r="O1" s="49"/>
      <c r="P1" s="49"/>
      <c r="Q1" s="49"/>
      <c r="R1" s="26"/>
    </row>
    <row r="3" spans="2:18" ht="13.8">
      <c r="B3" s="2" t="str">
        <f>VLOOKUP(B1,Base_lyc!A15:B30,2,FALSE)</f>
        <v>9830006P</v>
      </c>
      <c r="D3" s="23"/>
      <c r="E3" s="2" t="s">
        <v>31</v>
      </c>
      <c r="F3" s="29" t="str">
        <f>VLOOKUP(B3,Base_lyc!B15:D30,3,FALSE)</f>
        <v>Nouméa</v>
      </c>
    </row>
    <row r="6" spans="2:18" ht="3" customHeight="1"/>
    <row r="7" spans="2:18" ht="15.6" hidden="1">
      <c r="B7" s="4" t="s">
        <v>19</v>
      </c>
      <c r="C7" s="4"/>
      <c r="D7" s="4"/>
      <c r="E7" s="4"/>
      <c r="F7" s="4"/>
      <c r="G7" s="4"/>
      <c r="H7" s="4"/>
    </row>
    <row r="8" spans="2:18" hidden="1"/>
    <row r="9" spans="2:18" hidden="1">
      <c r="B9" s="2" t="s">
        <v>31</v>
      </c>
      <c r="C9" s="2" t="s">
        <v>29</v>
      </c>
      <c r="E9" s="20" t="s">
        <v>41</v>
      </c>
      <c r="G9" s="2" t="s">
        <v>40</v>
      </c>
    </row>
    <row r="10" spans="2:18" hidden="1">
      <c r="B10" s="2" t="s">
        <v>30</v>
      </c>
      <c r="C10" s="2" t="s">
        <v>36</v>
      </c>
      <c r="E10" s="20" t="s">
        <v>42</v>
      </c>
    </row>
    <row r="11" spans="2:18" hidden="1">
      <c r="B11" s="2" t="s">
        <v>26</v>
      </c>
      <c r="C11" s="2" t="s">
        <v>37</v>
      </c>
      <c r="E11" s="21" t="s">
        <v>43</v>
      </c>
    </row>
    <row r="12" spans="2:18" hidden="1">
      <c r="B12" s="2" t="s">
        <v>27</v>
      </c>
      <c r="C12" s="2" t="s">
        <v>38</v>
      </c>
      <c r="E12" s="21" t="s">
        <v>13</v>
      </c>
    </row>
    <row r="13" spans="2:18" hidden="1">
      <c r="B13" s="2" t="s">
        <v>28</v>
      </c>
      <c r="C13" s="10" t="s">
        <v>39</v>
      </c>
      <c r="E13" s="21"/>
    </row>
    <row r="14" spans="2:18" hidden="1">
      <c r="E14" s="21" t="s">
        <v>14</v>
      </c>
    </row>
    <row r="20" spans="2:9" ht="15.6">
      <c r="B20" s="11" t="s">
        <v>15</v>
      </c>
    </row>
    <row r="21" spans="2:9">
      <c r="E21" s="33">
        <v>2012</v>
      </c>
      <c r="F21" s="58">
        <v>2021</v>
      </c>
      <c r="G21" s="113">
        <v>2022</v>
      </c>
      <c r="H21" s="114"/>
      <c r="I21" s="58">
        <v>2023</v>
      </c>
    </row>
    <row r="22" spans="2:9">
      <c r="B22" s="2" t="s">
        <v>16</v>
      </c>
      <c r="E22" s="31">
        <f>VLOOKUP(B3,Base_lyc!B15:BD30,5,FALSE)</f>
        <v>1185</v>
      </c>
      <c r="F22" s="31">
        <f>VLOOKUP(B3,Base_lyc!B15:BD30,7,FALSE)</f>
        <v>908</v>
      </c>
      <c r="G22" s="115">
        <f>VLOOKUP(B3,Base_lyc!B15:BD30,9,FALSE)</f>
        <v>883</v>
      </c>
      <c r="H22" s="116"/>
      <c r="I22" s="31">
        <f>VLOOKUP(B3,Base_lyc!B15:BD30,11,FALSE)</f>
        <v>916</v>
      </c>
    </row>
    <row r="23" spans="2:9" s="9" customFormat="1">
      <c r="B23" s="9" t="s">
        <v>45</v>
      </c>
      <c r="E23" s="31" t="str">
        <f>VLOOKUP(B3,Base_lyc!B15:BD30,6,FALSE)</f>
        <v>-</v>
      </c>
      <c r="F23" s="31">
        <f>VLOOKUP(B3,Base_lyc!B15:BD30,8,FALSE)</f>
        <v>117</v>
      </c>
      <c r="G23" s="115">
        <f>VLOOKUP(B3,Base_lyc!B15:BD30,10,FALSE)</f>
        <v>113</v>
      </c>
      <c r="H23" s="116"/>
      <c r="I23" s="31">
        <f>VLOOKUP(B3,Base_lyc!B15:BD30,12,FALSE)</f>
        <v>109</v>
      </c>
    </row>
    <row r="27" spans="2:9">
      <c r="D27" s="2">
        <f t="shared" ref="D27:F28" si="0">E21</f>
        <v>2012</v>
      </c>
      <c r="E27" s="2">
        <f t="shared" si="0"/>
        <v>2021</v>
      </c>
      <c r="F27" s="2">
        <f t="shared" si="0"/>
        <v>2022</v>
      </c>
      <c r="G27" s="2">
        <f>I21</f>
        <v>2023</v>
      </c>
    </row>
    <row r="28" spans="2:9">
      <c r="D28" s="2">
        <f t="shared" si="0"/>
        <v>1185</v>
      </c>
      <c r="E28" s="2">
        <f t="shared" si="0"/>
        <v>908</v>
      </c>
      <c r="F28" s="2">
        <f t="shared" si="0"/>
        <v>883</v>
      </c>
      <c r="G28" s="2">
        <f>I22</f>
        <v>916</v>
      </c>
    </row>
    <row r="39" spans="2:9" ht="15.6">
      <c r="B39" s="5" t="s">
        <v>208</v>
      </c>
      <c r="C39" s="3"/>
      <c r="D39" s="3"/>
      <c r="E39" s="3"/>
      <c r="F39" s="3"/>
      <c r="G39" s="3"/>
      <c r="H39" s="3"/>
    </row>
    <row r="40" spans="2:9">
      <c r="F40" s="103" t="s">
        <v>229</v>
      </c>
      <c r="G40" s="103"/>
      <c r="H40" s="103"/>
      <c r="I40" s="103"/>
    </row>
    <row r="41" spans="2:9">
      <c r="F41" s="33" t="s">
        <v>17</v>
      </c>
      <c r="G41" s="93" t="str">
        <f>VLOOKUP(B3,Base_lyc!B15:C30,2,FALSE)</f>
        <v>Public</v>
      </c>
      <c r="H41" s="94"/>
      <c r="I41" s="45" t="s">
        <v>197</v>
      </c>
    </row>
    <row r="42" spans="2:9">
      <c r="B42" s="2" t="s">
        <v>214</v>
      </c>
      <c r="F42" s="60">
        <f>VLOOKUP(B3,Base_lyc!B15:BD30,13,FALSE)</f>
        <v>-2.1</v>
      </c>
      <c r="G42" s="101">
        <f>VLOOKUP(B3,Base_lyc!B15:BD30,14,FALSE)</f>
        <v>4.9000000000000004</v>
      </c>
      <c r="H42" s="102"/>
      <c r="I42" s="60">
        <f>VLOOKUP(B3,Base_lyc!B15:BD30,15,FALSE)</f>
        <v>5.3</v>
      </c>
    </row>
    <row r="43" spans="2:9">
      <c r="B43" s="2" t="s">
        <v>218</v>
      </c>
      <c r="F43" s="60">
        <f>VLOOKUP(B3,Base_lyc!B15:BD30,16,FALSE)</f>
        <v>58.7</v>
      </c>
      <c r="G43" s="101">
        <f>VLOOKUP(B3,Base_lyc!B15:BD30,17,FALSE)</f>
        <v>62.5</v>
      </c>
      <c r="H43" s="102"/>
      <c r="I43" s="60">
        <f>VLOOKUP(B3,Base_lyc!B15:BD30,18,FALSE)</f>
        <v>59.8</v>
      </c>
    </row>
    <row r="44" spans="2:9">
      <c r="B44" s="2" t="s">
        <v>219</v>
      </c>
      <c r="F44" s="60">
        <f>VLOOKUP(B3,Base_lyc!B15:BD30,19,FALSE)</f>
        <v>5.2</v>
      </c>
      <c r="G44" s="101">
        <f>VLOOKUP(B3,Base_lyc!B15:BD30,20,FALSE)</f>
        <v>5.7</v>
      </c>
      <c r="H44" s="102"/>
      <c r="I44" s="60">
        <f>VLOOKUP(B3,Base_lyc!B15:BD30,21,FALSE)</f>
        <v>5.9</v>
      </c>
    </row>
    <row r="45" spans="2:9">
      <c r="B45" s="2" t="s">
        <v>221</v>
      </c>
      <c r="F45" s="60">
        <f>VLOOKUP(B3,Base_lyc!B15:BD30,22,FALSE)</f>
        <v>80.900000000000006</v>
      </c>
      <c r="G45" s="101">
        <f>VLOOKUP(B3,Base_lyc!B15:BD30,23,FALSE)</f>
        <v>79.599999999999994</v>
      </c>
      <c r="H45" s="102"/>
      <c r="I45" s="60">
        <f>VLOOKUP(B3,Base_lyc!B15:BD30,24,FALSE)</f>
        <v>81.3</v>
      </c>
    </row>
    <row r="46" spans="2:9">
      <c r="B46" s="2" t="s">
        <v>228</v>
      </c>
      <c r="F46" s="60">
        <f>VLOOKUP(B3,Base_lyc!BQ15:BT30,2,FALSE)</f>
        <v>49.835706462212485</v>
      </c>
      <c r="G46" s="101">
        <f>VLOOKUP(B3,Base_lyc!BQ15:BT30,3,FALSE)</f>
        <v>53.1</v>
      </c>
      <c r="H46" s="102"/>
      <c r="I46" s="60">
        <f>VLOOKUP(B3,Base_lyc!BQ15:BT30,4,FALSE)</f>
        <v>55.8</v>
      </c>
    </row>
    <row r="47" spans="2:9">
      <c r="B47" s="2" t="s">
        <v>160</v>
      </c>
      <c r="F47" s="60">
        <f>VLOOKUP(B3,Base_lyc!B15:BD30,25,FALSE)</f>
        <v>18.7</v>
      </c>
      <c r="G47" s="101">
        <f>VLOOKUP(B3,Base_lyc!B15:BD30,26,FALSE)</f>
        <v>20.5</v>
      </c>
      <c r="H47" s="102"/>
      <c r="I47" s="60">
        <f>VLOOKUP(B3,Base_lyc!B15:BD30,27,FALSE)</f>
        <v>23.2</v>
      </c>
    </row>
    <row r="48" spans="2:9">
      <c r="B48" s="2" t="s">
        <v>240</v>
      </c>
      <c r="F48" s="7">
        <f>VLOOKUP(B3,Base_lyc!BQ15:BZ30,5,FALSE)</f>
        <v>27.7</v>
      </c>
      <c r="G48" s="117">
        <f>VLOOKUP(B3,Base_lyc!BQ15:BZ30,6,FALSE)</f>
        <v>34.5</v>
      </c>
      <c r="H48" s="117"/>
      <c r="I48" s="7">
        <f>VLOOKUP(B3,Base_lyc!BQ15:BZ30,7,FALSE)</f>
        <v>39.6</v>
      </c>
    </row>
    <row r="49" spans="2:12">
      <c r="B49" s="2" t="s">
        <v>241</v>
      </c>
      <c r="F49" s="90">
        <f>VLOOKUP(B3,Base_lyc!BQ15:BZ30,8,FALSE)</f>
        <v>10.4</v>
      </c>
      <c r="G49" s="92">
        <f>VLOOKUP(B3,Base_lyc!BQ15:BZ30,9,FALSE)</f>
        <v>16.100000000000001</v>
      </c>
      <c r="H49" s="92"/>
      <c r="I49" s="90">
        <f>VLOOKUP(B3,Base_lyc!BQ15:BZ30,10,FALSE)</f>
        <v>14.5</v>
      </c>
    </row>
    <row r="50" spans="2:12">
      <c r="F50" s="46"/>
      <c r="G50" s="46"/>
      <c r="H50" s="46"/>
      <c r="I50" s="46"/>
    </row>
    <row r="51" spans="2:12">
      <c r="B51" s="47" t="s">
        <v>242</v>
      </c>
      <c r="F51" s="14"/>
      <c r="G51" s="14"/>
      <c r="H51" s="14"/>
      <c r="I51" s="14"/>
    </row>
    <row r="52" spans="2:12" ht="16.5" hidden="1" customHeight="1">
      <c r="B52" s="15" t="s">
        <v>127</v>
      </c>
      <c r="C52" s="16"/>
      <c r="D52" s="16"/>
      <c r="E52" s="16"/>
      <c r="F52" s="16"/>
      <c r="G52" s="16"/>
      <c r="H52" s="16"/>
      <c r="I52" s="17" t="s">
        <v>6</v>
      </c>
    </row>
    <row r="53" spans="2:12" ht="19.5" hidden="1" customHeight="1">
      <c r="B53" s="12" t="s">
        <v>2</v>
      </c>
      <c r="C53" s="106" t="s">
        <v>1</v>
      </c>
      <c r="D53" s="107"/>
      <c r="E53" s="108" t="s">
        <v>3</v>
      </c>
      <c r="F53" s="109"/>
      <c r="G53" s="110" t="s">
        <v>4</v>
      </c>
      <c r="H53" s="110"/>
      <c r="I53" s="111"/>
    </row>
    <row r="54" spans="2:12" hidden="1">
      <c r="J54" s="32"/>
      <c r="K54" s="41"/>
      <c r="L54" s="32">
        <v>6.5</v>
      </c>
    </row>
    <row r="55" spans="2:12" hidden="1">
      <c r="J55" s="32"/>
      <c r="K55" s="32"/>
      <c r="L55" s="32">
        <v>0</v>
      </c>
    </row>
    <row r="58" spans="2:12" ht="15.6">
      <c r="B58" s="5" t="s">
        <v>0</v>
      </c>
    </row>
    <row r="59" spans="2:12">
      <c r="F59" s="103" t="s">
        <v>229</v>
      </c>
      <c r="G59" s="103"/>
      <c r="H59" s="103"/>
      <c r="I59" s="103"/>
    </row>
    <row r="60" spans="2:12">
      <c r="F60" s="6" t="s">
        <v>17</v>
      </c>
      <c r="G60" s="93" t="str">
        <f>VLOOKUP(B3,Base_lyc!B15:C30,2,FALSE)</f>
        <v>Public</v>
      </c>
      <c r="H60" s="94"/>
      <c r="I60" s="45" t="s">
        <v>197</v>
      </c>
    </row>
    <row r="61" spans="2:12">
      <c r="B61" s="2" t="s">
        <v>20</v>
      </c>
      <c r="F61" s="104">
        <f>VLOOKUP(B3,Base_lyc!B15:BD30,28,FALSE)</f>
        <v>2.25</v>
      </c>
      <c r="G61" s="97">
        <f>VLOOKUP(B3,Base_lyc!B15:BD30,29,FALSE)</f>
        <v>2.4300000000000002</v>
      </c>
      <c r="H61" s="98"/>
      <c r="I61" s="104">
        <f>VLOOKUP(B3,Base_lyc!B15:BD30,30,FALSE)</f>
        <v>2.37</v>
      </c>
    </row>
    <row r="62" spans="2:12">
      <c r="B62" s="2" t="s">
        <v>161</v>
      </c>
      <c r="F62" s="105"/>
      <c r="G62" s="99"/>
      <c r="H62" s="100"/>
      <c r="I62" s="105"/>
    </row>
    <row r="63" spans="2:12">
      <c r="B63" s="2" t="s">
        <v>162</v>
      </c>
      <c r="F63" s="60">
        <f>VLOOKUP(B3,Base_lyc!B15:BD30,31,FALSE)</f>
        <v>20.7</v>
      </c>
      <c r="G63" s="101">
        <f>VLOOKUP(B3,Base_lyc!B15:BD30,32,FALSE)</f>
        <v>19.399999999999999</v>
      </c>
      <c r="H63" s="102"/>
      <c r="I63" s="83">
        <f>VLOOKUP(B3,Base_lyc!B15:BD30,33,FALSE)</f>
        <v>19.399999999999999</v>
      </c>
    </row>
    <row r="65" spans="2:12" ht="16.5" hidden="1" customHeight="1">
      <c r="B65" s="15" t="s">
        <v>128</v>
      </c>
      <c r="C65" s="16"/>
      <c r="D65" s="16"/>
      <c r="E65" s="16"/>
      <c r="F65" s="16"/>
      <c r="G65" s="16"/>
      <c r="H65" s="16"/>
      <c r="I65" s="17" t="s">
        <v>5</v>
      </c>
    </row>
    <row r="66" spans="2:12" ht="19.5" hidden="1" customHeight="1">
      <c r="B66" s="12" t="s">
        <v>2</v>
      </c>
      <c r="C66" s="106" t="s">
        <v>1</v>
      </c>
      <c r="D66" s="107"/>
      <c r="E66" s="108" t="s">
        <v>3</v>
      </c>
      <c r="F66" s="109"/>
      <c r="G66" s="110" t="s">
        <v>4</v>
      </c>
      <c r="H66" s="110"/>
      <c r="I66" s="111"/>
    </row>
    <row r="67" spans="2:12" hidden="1">
      <c r="J67" s="32"/>
      <c r="K67" s="41"/>
      <c r="L67" s="32">
        <v>6.5</v>
      </c>
    </row>
    <row r="68" spans="2:12" hidden="1">
      <c r="J68" s="32"/>
      <c r="K68" s="32"/>
      <c r="L68" s="32">
        <v>0</v>
      </c>
    </row>
    <row r="71" spans="2:12" ht="15.6">
      <c r="B71" s="5" t="s">
        <v>21</v>
      </c>
    </row>
    <row r="72" spans="2:12">
      <c r="F72" s="103" t="s">
        <v>229</v>
      </c>
      <c r="G72" s="103"/>
      <c r="H72" s="103"/>
      <c r="I72" s="103"/>
    </row>
    <row r="73" spans="2:12">
      <c r="F73" s="33" t="s">
        <v>17</v>
      </c>
      <c r="G73" s="93" t="str">
        <f>VLOOKUP(B3,Base_lyc!B15:C30,2,FALSE)</f>
        <v>Public</v>
      </c>
      <c r="H73" s="94"/>
      <c r="I73" s="45" t="s">
        <v>197</v>
      </c>
    </row>
    <row r="74" spans="2:12" hidden="1">
      <c r="B74" s="2" t="s">
        <v>22</v>
      </c>
      <c r="F74" s="7">
        <f>VLOOKUP(B3,Base_lyc!B15:BP30,56,FALSE)</f>
        <v>0</v>
      </c>
      <c r="G74" s="95">
        <f>VLOOKUP(B3,Base_lyc!B15:BP30,57,FALSE)</f>
        <v>0</v>
      </c>
      <c r="H74" s="96"/>
      <c r="I74" s="7">
        <f>VLOOKUP(B3,Base_lyc!B15:BP30,58,FALSE)</f>
        <v>0</v>
      </c>
    </row>
    <row r="75" spans="2:12">
      <c r="B75" s="2" t="s">
        <v>23</v>
      </c>
      <c r="F75" s="60">
        <f>VLOOKUP(B3,Base_lyc!B15:BP30,59,FALSE)</f>
        <v>89.7</v>
      </c>
      <c r="G75" s="101">
        <f>VLOOKUP(B3,Base_lyc!B15:BP30,60,FALSE)</f>
        <v>84.8</v>
      </c>
      <c r="H75" s="102"/>
      <c r="I75" s="60">
        <f>VLOOKUP(B3,Base_lyc!B15:BP30,61,FALSE)</f>
        <v>78.2</v>
      </c>
    </row>
    <row r="76" spans="2:12">
      <c r="B76" s="2" t="s">
        <v>24</v>
      </c>
      <c r="F76" s="60">
        <f>VLOOKUP(B3,Base_lyc!B15:BP30,62,FALSE)</f>
        <v>8.3000000000000007</v>
      </c>
      <c r="G76" s="101">
        <f>VLOOKUP(B3,Base_lyc!B15:BP30,63,FALSE)</f>
        <v>5.8</v>
      </c>
      <c r="H76" s="102"/>
      <c r="I76" s="60">
        <f>VLOOKUP(B3,Base_lyc!B15:BP30,64,FALSE)</f>
        <v>6.3</v>
      </c>
    </row>
    <row r="77" spans="2:12">
      <c r="B77" s="2" t="s">
        <v>25</v>
      </c>
      <c r="F77" s="60">
        <f>VLOOKUP(B3,Base_lyc!B15:BP30,65,FALSE)</f>
        <v>47.7</v>
      </c>
      <c r="G77" s="101">
        <f>VLOOKUP(B3,Base_lyc!B15:BP30,66,FALSE)</f>
        <v>45.2</v>
      </c>
      <c r="H77" s="102"/>
      <c r="I77" s="60">
        <f>VLOOKUP(B3,Base_lyc!B15:BP30,67,FALSE)</f>
        <v>45.9</v>
      </c>
    </row>
    <row r="86" spans="2:12" ht="15.6">
      <c r="B86" s="5" t="s">
        <v>7</v>
      </c>
    </row>
    <row r="87" spans="2:12">
      <c r="F87" s="103" t="s">
        <v>230</v>
      </c>
      <c r="G87" s="103"/>
      <c r="H87" s="103"/>
      <c r="I87" s="103"/>
    </row>
    <row r="88" spans="2:12">
      <c r="F88" s="33" t="s">
        <v>17</v>
      </c>
      <c r="G88" s="33" t="s">
        <v>10</v>
      </c>
      <c r="H88" s="37" t="str">
        <f>VLOOKUP(B3,Base_lyc!B15:C30,2,FALSE)</f>
        <v>Public</v>
      </c>
      <c r="I88" s="45" t="s">
        <v>197</v>
      </c>
    </row>
    <row r="89" spans="2:12">
      <c r="B89" s="2" t="s">
        <v>185</v>
      </c>
      <c r="E89" s="34"/>
      <c r="F89" s="76">
        <f>VLOOKUP(B3,Base_lyc!B15:BD30,34,FALSE)</f>
        <v>86.9</v>
      </c>
      <c r="G89" s="77" t="s">
        <v>12</v>
      </c>
      <c r="H89" s="78">
        <f>VLOOKUP(B3,Base_lyc!B15:BD30,35,FALSE)</f>
        <v>89.2</v>
      </c>
      <c r="I89" s="76">
        <f>VLOOKUP(B3,Base_lyc!B15:BD30,36,FALSE)</f>
        <v>87.8</v>
      </c>
    </row>
    <row r="90" spans="2:12" s="9" customFormat="1">
      <c r="B90" s="9" t="s">
        <v>233</v>
      </c>
      <c r="E90" s="59"/>
      <c r="F90" s="76">
        <f>VLOOKUP(B3,Base_lyc!B15:BD30,37,FALSE)</f>
        <v>1.4</v>
      </c>
      <c r="G90" s="77" t="s">
        <v>12</v>
      </c>
      <c r="H90" s="78">
        <f>VLOOKUP(B3,Base_lyc!B15:BD30,38,FALSE)</f>
        <v>1.3</v>
      </c>
      <c r="I90" s="76">
        <f>VLOOKUP(B3,Base_lyc!B15:BD30,39,FALSE)</f>
        <v>1.5</v>
      </c>
      <c r="K90" s="2"/>
      <c r="L90" s="2"/>
    </row>
    <row r="91" spans="2:12">
      <c r="B91" s="2" t="s">
        <v>189</v>
      </c>
      <c r="E91" s="34"/>
      <c r="F91" s="60">
        <f>VLOOKUP(B3,Base_lyc!B15:BD30,40,FALSE)</f>
        <v>2.2999999999999998</v>
      </c>
      <c r="G91" s="61" t="s">
        <v>12</v>
      </c>
      <c r="H91" s="62">
        <f>VLOOKUP(B3,Base_lyc!B15:BD30,41,FALSE)</f>
        <v>2.2000000000000002</v>
      </c>
      <c r="I91" s="60">
        <f>VLOOKUP(B3,Base_lyc!B15:BD30,42,FALSE)</f>
        <v>2.6</v>
      </c>
    </row>
    <row r="92" spans="2:12">
      <c r="B92" s="2" t="s">
        <v>186</v>
      </c>
      <c r="E92" s="34"/>
      <c r="F92" s="60">
        <f>VLOOKUP(B3,Base_lyc!B15:BD30,43,FALSE)</f>
        <v>55</v>
      </c>
      <c r="G92" s="119">
        <f>VLOOKUP(B3,Base_lyc!B15:BD30,44,FALSE)</f>
        <v>-15</v>
      </c>
      <c r="H92" s="62" t="s">
        <v>12</v>
      </c>
      <c r="I92" s="60" t="s">
        <v>12</v>
      </c>
    </row>
    <row r="93" spans="2:12">
      <c r="B93" s="2" t="s">
        <v>187</v>
      </c>
      <c r="E93" s="34"/>
      <c r="F93" s="60">
        <f>VLOOKUP(B3,Base_lyc!B15:BD30,45,FALSE)</f>
        <v>65</v>
      </c>
      <c r="G93" s="119">
        <f>VLOOKUP(B3,Base_lyc!B15:BD30,46,FALSE)</f>
        <v>-14</v>
      </c>
      <c r="H93" s="62" t="s">
        <v>12</v>
      </c>
      <c r="I93" s="60" t="s">
        <v>12</v>
      </c>
    </row>
    <row r="94" spans="2:12">
      <c r="B94" s="2" t="s">
        <v>188</v>
      </c>
      <c r="E94" s="34"/>
      <c r="F94" s="60">
        <f>VLOOKUP(B3,Base_lyc!B15:BD30,47,FALSE)</f>
        <v>74</v>
      </c>
      <c r="G94" s="119">
        <f>VLOOKUP(B3,Base_lyc!B15:BD30,48,FALSE)</f>
        <v>-13</v>
      </c>
      <c r="H94" s="62" t="s">
        <v>12</v>
      </c>
      <c r="I94" s="60" t="s">
        <v>12</v>
      </c>
    </row>
    <row r="96" spans="2:12" hidden="1">
      <c r="B96" s="15" t="s">
        <v>179</v>
      </c>
      <c r="C96" s="16"/>
      <c r="D96" s="16"/>
      <c r="E96" s="16"/>
      <c r="F96" s="16"/>
      <c r="G96" s="16"/>
      <c r="H96" s="16"/>
      <c r="I96" s="17" t="s">
        <v>11</v>
      </c>
    </row>
    <row r="97" spans="2:25" ht="17.399999999999999" hidden="1">
      <c r="B97" s="12" t="s">
        <v>2</v>
      </c>
      <c r="C97" s="106" t="s">
        <v>1</v>
      </c>
      <c r="D97" s="107"/>
      <c r="E97" s="108" t="s">
        <v>3</v>
      </c>
      <c r="F97" s="109"/>
      <c r="G97" s="110" t="s">
        <v>4</v>
      </c>
      <c r="H97" s="110"/>
      <c r="I97" s="111"/>
    </row>
    <row r="98" spans="2:25" hidden="1">
      <c r="J98" s="32"/>
      <c r="K98" s="41"/>
      <c r="L98" s="32">
        <v>6.5</v>
      </c>
    </row>
    <row r="99" spans="2:25" hidden="1">
      <c r="J99" s="32"/>
      <c r="K99" s="32"/>
      <c r="L99" s="32">
        <v>0</v>
      </c>
    </row>
    <row r="101" spans="2:25" ht="15.6">
      <c r="B101" s="5" t="s">
        <v>9</v>
      </c>
    </row>
    <row r="102" spans="2:25">
      <c r="F102" s="103" t="s">
        <v>229</v>
      </c>
      <c r="G102" s="103"/>
      <c r="H102" s="103"/>
      <c r="I102" s="103"/>
      <c r="J102" s="25"/>
    </row>
    <row r="103" spans="2:25">
      <c r="F103" s="24" t="s">
        <v>17</v>
      </c>
      <c r="G103" s="33" t="s">
        <v>10</v>
      </c>
      <c r="H103" s="37" t="str">
        <f>VLOOKUP(B3,Base_lyc!B15:C30,2,FALSE)</f>
        <v>Public</v>
      </c>
      <c r="I103" s="45" t="s">
        <v>197</v>
      </c>
    </row>
    <row r="104" spans="2:25">
      <c r="B104" s="2" t="s">
        <v>191</v>
      </c>
      <c r="E104" s="34"/>
      <c r="F104" s="60">
        <f>VLOOKUP(B3,Base_lyc!B15:BD30,49,FALSE)</f>
        <v>71.568627450980387</v>
      </c>
      <c r="G104" s="120">
        <f>VLOOKUP(B3,Base_lyc!B15:BD30,50,FALSE)</f>
        <v>-17</v>
      </c>
      <c r="H104" s="79">
        <f>VLOOKUP(B3,Base_lyc!B15:BD30,51,FALSE)</f>
        <v>70.554765291607396</v>
      </c>
      <c r="I104" s="60">
        <f>VLOOKUP(B3,Base_lyc!B15:BD30,52,FALSE)</f>
        <v>70.798479087452478</v>
      </c>
    </row>
    <row r="105" spans="2:25">
      <c r="B105" s="2" t="s">
        <v>49</v>
      </c>
      <c r="E105" s="34"/>
      <c r="F105" s="60">
        <f>VLOOKUP(B3,Base_lyc!B15:BD30,53,FALSE)</f>
        <v>65.116279069767444</v>
      </c>
      <c r="G105" s="61" t="s">
        <v>12</v>
      </c>
      <c r="H105" s="62">
        <f>VLOOKUP(B3,Base_lyc!B15:BD30,54,FALSE)</f>
        <v>63.636363636363633</v>
      </c>
      <c r="I105" s="60">
        <f>VLOOKUP(B3,Base_lyc!B15:BD30,55,FALSE)</f>
        <v>67.333333333333329</v>
      </c>
    </row>
    <row r="109" spans="2:25" ht="15.6">
      <c r="B109" s="8" t="s">
        <v>8</v>
      </c>
    </row>
    <row r="110" spans="2:25">
      <c r="Y110" s="22"/>
    </row>
    <row r="113" spans="10:25">
      <c r="K113" s="9"/>
      <c r="O113" s="27"/>
      <c r="P113" s="50"/>
    </row>
    <row r="114" spans="10:25">
      <c r="J114" s="1" t="s">
        <v>196</v>
      </c>
      <c r="K114" s="1"/>
      <c r="L114" s="1"/>
      <c r="M114" s="1"/>
      <c r="N114" s="1"/>
      <c r="O114" s="1"/>
      <c r="P114" s="1"/>
      <c r="Q114" s="1"/>
      <c r="R114" s="1"/>
      <c r="S114" s="1"/>
      <c r="T114" s="9"/>
      <c r="U114" s="9"/>
    </row>
    <row r="115" spans="10:25" ht="52.8">
      <c r="J115" s="57" t="s">
        <v>8</v>
      </c>
      <c r="K115" s="42" t="s">
        <v>213</v>
      </c>
      <c r="L115" s="42" t="s">
        <v>207</v>
      </c>
      <c r="M115" s="42" t="s">
        <v>192</v>
      </c>
      <c r="N115" s="42" t="s">
        <v>32</v>
      </c>
      <c r="O115" s="42" t="s">
        <v>34</v>
      </c>
      <c r="P115" s="42" t="s">
        <v>193</v>
      </c>
      <c r="Q115" s="42" t="s">
        <v>194</v>
      </c>
      <c r="R115" s="42" t="s">
        <v>195</v>
      </c>
      <c r="S115" s="42" t="s">
        <v>33</v>
      </c>
      <c r="T115" s="64"/>
      <c r="U115" s="64"/>
    </row>
    <row r="116" spans="10:25">
      <c r="J116" s="1" t="s">
        <v>17</v>
      </c>
      <c r="K116" s="44">
        <f>VLOOKUP(B3,Base_lyc!B50:M65,5,FALSE)</f>
        <v>5</v>
      </c>
      <c r="L116" s="44">
        <f>VLOOKUP(B3,Base_lyc!B50:M65,6,FALSE)</f>
        <v>-0.14545454545454237</v>
      </c>
      <c r="M116" s="44">
        <f>VLOOKUP(B3,Base_lyc!B50:M65,7,FALSE)</f>
        <v>1.125</v>
      </c>
      <c r="N116" s="44">
        <f>VLOOKUP(B3,Base_lyc!B50:M65,8,FALSE)</f>
        <v>-0.86956521739130521</v>
      </c>
      <c r="O116" s="44">
        <f>VLOOKUP(B3,Base_lyc!B50:M65,9,FALSE)</f>
        <v>-0.89041095890411015</v>
      </c>
      <c r="P116" s="44">
        <f>VLOOKUP(B3,Base_lyc!B50:M65,10,FALSE)</f>
        <v>-0.41284403669724384</v>
      </c>
      <c r="Q116" s="44">
        <f>VLOOKUP(B3,Base_lyc!B50:M65,11,FALSE)</f>
        <v>0.24000000000000021</v>
      </c>
      <c r="R116" s="44">
        <f>VLOOKUP(B3,Base_lyc!B50:M65,12,FALSE)</f>
        <v>0.19323671497584469</v>
      </c>
      <c r="S116" s="44">
        <f>VLOOKUP(B3,Base_lyc!B50:O65,13,FALSE)</f>
        <v>5</v>
      </c>
      <c r="T116" s="9"/>
      <c r="U116" s="9"/>
      <c r="Y116" s="13"/>
    </row>
    <row r="117" spans="10:25">
      <c r="J117" s="1" t="s">
        <v>197</v>
      </c>
      <c r="K117" s="43">
        <v>0</v>
      </c>
      <c r="L117" s="43">
        <v>0</v>
      </c>
      <c r="M117" s="43">
        <v>0</v>
      </c>
      <c r="N117" s="43">
        <v>0</v>
      </c>
      <c r="O117" s="43">
        <v>0</v>
      </c>
      <c r="P117" s="43">
        <v>0</v>
      </c>
      <c r="Q117" s="43">
        <v>0</v>
      </c>
      <c r="R117" s="43">
        <v>0</v>
      </c>
      <c r="S117" s="43">
        <v>0</v>
      </c>
      <c r="T117" s="9"/>
      <c r="U117" s="9"/>
      <c r="Y117" s="34"/>
    </row>
    <row r="125" spans="10:25">
      <c r="K125" s="13"/>
      <c r="L125" s="13"/>
      <c r="M125" s="13"/>
      <c r="N125" s="13"/>
      <c r="O125" s="13"/>
      <c r="P125" s="13"/>
      <c r="Q125" s="13"/>
      <c r="R125" s="13"/>
      <c r="S125" s="13"/>
    </row>
    <row r="126" spans="10:25">
      <c r="K126" s="13"/>
      <c r="L126" s="13"/>
      <c r="M126" s="13"/>
      <c r="N126" s="13"/>
      <c r="O126" s="13"/>
      <c r="P126" s="13"/>
      <c r="Q126" s="13"/>
      <c r="R126" s="13"/>
      <c r="S126" s="13"/>
    </row>
    <row r="127" spans="10:25">
      <c r="K127" s="13"/>
      <c r="L127" s="13"/>
      <c r="M127" s="13"/>
      <c r="N127" s="13"/>
      <c r="O127" s="13"/>
      <c r="P127" s="13"/>
      <c r="Q127" s="13"/>
      <c r="R127" s="13"/>
      <c r="S127" s="13"/>
    </row>
    <row r="128" spans="10:25">
      <c r="K128" s="13"/>
      <c r="L128" s="13"/>
      <c r="M128" s="13"/>
      <c r="N128" s="13"/>
      <c r="O128" s="13"/>
      <c r="P128" s="13"/>
      <c r="Q128" s="13"/>
      <c r="R128" s="13"/>
      <c r="S128" s="13"/>
    </row>
    <row r="129" spans="11:19">
      <c r="K129" s="13"/>
      <c r="L129" s="13"/>
      <c r="M129" s="13"/>
      <c r="N129" s="13"/>
      <c r="O129" s="13"/>
      <c r="P129" s="13"/>
      <c r="Q129" s="13"/>
      <c r="R129" s="13"/>
      <c r="S129" s="13"/>
    </row>
    <row r="130" spans="11:19">
      <c r="K130" s="13"/>
      <c r="L130" s="13"/>
      <c r="M130" s="13"/>
      <c r="N130" s="13"/>
      <c r="O130" s="13"/>
      <c r="P130" s="13"/>
      <c r="Q130" s="13"/>
      <c r="R130" s="13"/>
      <c r="S130" s="13"/>
    </row>
    <row r="131" spans="11:19">
      <c r="K131" s="13"/>
      <c r="L131" s="13"/>
      <c r="M131" s="13"/>
      <c r="N131" s="13"/>
      <c r="O131" s="13"/>
      <c r="P131" s="13"/>
      <c r="Q131" s="13"/>
      <c r="R131" s="13"/>
      <c r="S131" s="13"/>
    </row>
    <row r="132" spans="11:19">
      <c r="K132" s="13"/>
      <c r="L132" s="13"/>
      <c r="M132" s="13"/>
      <c r="N132" s="13"/>
      <c r="O132" s="13"/>
      <c r="P132" s="13"/>
      <c r="Q132" s="13"/>
      <c r="R132" s="13"/>
      <c r="S132" s="13"/>
    </row>
    <row r="133" spans="11:19">
      <c r="K133" s="13"/>
      <c r="L133" s="13"/>
      <c r="M133" s="13"/>
      <c r="N133" s="13"/>
      <c r="O133" s="13"/>
      <c r="P133" s="13"/>
      <c r="Q133" s="13"/>
      <c r="R133" s="13"/>
      <c r="S133" s="13"/>
    </row>
    <row r="134" spans="11:19">
      <c r="K134" s="13"/>
      <c r="L134" s="13"/>
      <c r="M134" s="13"/>
      <c r="N134" s="13"/>
      <c r="O134" s="13"/>
      <c r="P134" s="13"/>
      <c r="Q134" s="13"/>
      <c r="R134" s="13"/>
      <c r="S134" s="13"/>
    </row>
    <row r="135" spans="11:19">
      <c r="K135" s="13"/>
      <c r="L135" s="13"/>
      <c r="M135" s="13"/>
      <c r="N135" s="13"/>
      <c r="O135" s="13"/>
      <c r="P135" s="13"/>
      <c r="Q135" s="13"/>
      <c r="R135" s="13"/>
      <c r="S135" s="13"/>
    </row>
    <row r="136" spans="11:19">
      <c r="K136" s="13"/>
      <c r="L136" s="13"/>
      <c r="M136" s="13"/>
      <c r="N136" s="13"/>
      <c r="O136" s="13"/>
      <c r="P136" s="13"/>
      <c r="Q136" s="13"/>
      <c r="R136" s="13"/>
      <c r="S136" s="13"/>
    </row>
    <row r="137" spans="11:19">
      <c r="K137" s="13"/>
      <c r="L137" s="13"/>
      <c r="M137" s="13"/>
      <c r="N137" s="13"/>
      <c r="O137" s="13"/>
      <c r="P137" s="13"/>
      <c r="Q137" s="13"/>
      <c r="R137" s="13"/>
      <c r="S137" s="13"/>
    </row>
    <row r="138" spans="11:19">
      <c r="K138" s="13"/>
      <c r="L138" s="13"/>
      <c r="M138" s="13"/>
      <c r="N138" s="13"/>
      <c r="O138" s="13"/>
      <c r="P138" s="13"/>
      <c r="Q138" s="13"/>
      <c r="R138" s="13"/>
      <c r="S138" s="13"/>
    </row>
    <row r="139" spans="11:19">
      <c r="K139" s="13"/>
      <c r="L139" s="13"/>
      <c r="M139" s="13"/>
      <c r="N139" s="13"/>
      <c r="O139" s="40"/>
      <c r="P139" s="40"/>
      <c r="Q139" s="40"/>
      <c r="R139" s="40"/>
      <c r="S139" s="13"/>
    </row>
    <row r="140" spans="11:19">
      <c r="K140" s="13"/>
      <c r="L140" s="13"/>
      <c r="M140" s="13"/>
      <c r="N140" s="13"/>
      <c r="O140" s="13"/>
      <c r="P140" s="13"/>
      <c r="Q140" s="13"/>
      <c r="R140" s="13"/>
      <c r="S140" s="13"/>
    </row>
    <row r="141" spans="11:19">
      <c r="K141" s="13"/>
      <c r="L141" s="13"/>
      <c r="M141" s="13"/>
      <c r="N141" s="13"/>
      <c r="O141" s="13"/>
      <c r="P141" s="13"/>
      <c r="Q141" s="13"/>
      <c r="R141" s="13"/>
      <c r="S141" s="13"/>
    </row>
    <row r="142" spans="11:19">
      <c r="K142" s="13"/>
      <c r="L142" s="13"/>
      <c r="M142" s="13"/>
      <c r="N142" s="13"/>
      <c r="O142" s="13"/>
      <c r="P142" s="13"/>
      <c r="Q142" s="13"/>
      <c r="R142" s="13"/>
      <c r="S142" s="13"/>
    </row>
    <row r="143" spans="11:19">
      <c r="K143" s="13"/>
      <c r="L143" s="13"/>
      <c r="M143" s="13"/>
      <c r="N143" s="13"/>
      <c r="O143" s="13"/>
      <c r="P143" s="13"/>
      <c r="Q143" s="13"/>
      <c r="R143" s="13"/>
      <c r="S143" s="13"/>
    </row>
    <row r="144" spans="11:19">
      <c r="K144" s="13"/>
      <c r="L144" s="13"/>
      <c r="M144" s="13"/>
      <c r="N144" s="13"/>
      <c r="O144" s="13"/>
      <c r="P144" s="13"/>
      <c r="Q144" s="13"/>
      <c r="R144" s="13"/>
      <c r="S144" s="13"/>
    </row>
    <row r="145" spans="11:19">
      <c r="K145" s="13"/>
      <c r="L145" s="13"/>
      <c r="M145" s="13"/>
      <c r="N145" s="13"/>
      <c r="O145" s="13"/>
      <c r="P145" s="13"/>
      <c r="Q145" s="13"/>
      <c r="R145" s="13"/>
      <c r="S145" s="13"/>
    </row>
    <row r="146" spans="11:19">
      <c r="K146" s="13"/>
      <c r="L146" s="13"/>
      <c r="M146" s="13"/>
      <c r="N146" s="13"/>
      <c r="O146" s="13"/>
      <c r="P146" s="13"/>
      <c r="Q146" s="13"/>
      <c r="R146" s="13"/>
      <c r="S146" s="13"/>
    </row>
  </sheetData>
  <mergeCells count="37">
    <mergeCell ref="B1:I1"/>
    <mergeCell ref="F40:I40"/>
    <mergeCell ref="C53:D53"/>
    <mergeCell ref="E53:F53"/>
    <mergeCell ref="G53:I53"/>
    <mergeCell ref="G21:H21"/>
    <mergeCell ref="G22:H22"/>
    <mergeCell ref="G23:H23"/>
    <mergeCell ref="G41:H41"/>
    <mergeCell ref="G42:H42"/>
    <mergeCell ref="G43:H43"/>
    <mergeCell ref="G44:H44"/>
    <mergeCell ref="G45:H45"/>
    <mergeCell ref="G47:H47"/>
    <mergeCell ref="G46:H46"/>
    <mergeCell ref="G48:H48"/>
    <mergeCell ref="F102:I102"/>
    <mergeCell ref="F61:F62"/>
    <mergeCell ref="I61:I62"/>
    <mergeCell ref="C66:D66"/>
    <mergeCell ref="E66:F66"/>
    <mergeCell ref="G66:I66"/>
    <mergeCell ref="G75:H75"/>
    <mergeCell ref="G76:H76"/>
    <mergeCell ref="G77:H77"/>
    <mergeCell ref="F87:I87"/>
    <mergeCell ref="G61:H62"/>
    <mergeCell ref="G63:H63"/>
    <mergeCell ref="G73:H73"/>
    <mergeCell ref="G74:H74"/>
    <mergeCell ref="F72:I72"/>
    <mergeCell ref="G49:H49"/>
    <mergeCell ref="C97:D97"/>
    <mergeCell ref="E97:F97"/>
    <mergeCell ref="G97:I97"/>
    <mergeCell ref="F59:I59"/>
    <mergeCell ref="G60:H60"/>
  </mergeCells>
  <hyperlinks>
    <hyperlink ref="C13" r:id="rId1"/>
  </hyperlinks>
  <pageMargins left="0.23622047244094491" right="0.23622047244094491" top="0.35433070866141736" bottom="0.35433070866141736" header="0.31496062992125984" footer="0.31496062992125984"/>
  <pageSetup paperSize="9" scale="97" fitToHeight="0" orientation="portrait" r:id="rId2"/>
  <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Base_lyc!$A$15:$A$30</xm:f>
          </x14:formula1>
          <xm:sqref>B1:I1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Z111"/>
  <sheetViews>
    <sheetView zoomScaleNormal="100" workbookViewId="0">
      <pane xSplit="3" ySplit="1" topLeftCell="D2" activePane="bottomRight" state="frozen"/>
      <selection activeCell="B1" sqref="B1:I1"/>
      <selection pane="topRight" activeCell="B1" sqref="B1:I1"/>
      <selection pane="bottomLeft" activeCell="B1" sqref="B1:I1"/>
      <selection pane="bottomRight" activeCell="D2" sqref="D2"/>
    </sheetView>
  </sheetViews>
  <sheetFormatPr baseColWidth="10" defaultColWidth="11.44140625" defaultRowHeight="13.2"/>
  <cols>
    <col min="1" max="1" width="62.33203125" style="2" bestFit="1" customWidth="1"/>
    <col min="2" max="2" width="9.33203125" style="2" bestFit="1" customWidth="1"/>
    <col min="3" max="3" width="16.109375" style="2" bestFit="1" customWidth="1"/>
    <col min="4" max="4" width="12.109375" style="2" customWidth="1"/>
    <col min="5" max="5" width="16.109375" style="2" bestFit="1" customWidth="1"/>
    <col min="6" max="6" width="14.44140625" style="9" bestFit="1" customWidth="1"/>
    <col min="7" max="7" width="15.44140625" style="9" bestFit="1" customWidth="1"/>
    <col min="8" max="8" width="14.44140625" style="9" bestFit="1" customWidth="1"/>
    <col min="9" max="9" width="15.44140625" style="9" bestFit="1" customWidth="1"/>
    <col min="10" max="10" width="14.44140625" style="9" bestFit="1" customWidth="1"/>
    <col min="11" max="11" width="15.44140625" style="9" bestFit="1" customWidth="1"/>
    <col min="12" max="13" width="15.44140625" style="9" customWidth="1"/>
    <col min="14" max="14" width="9.33203125" style="9" bestFit="1" customWidth="1"/>
    <col min="15" max="16" width="8.6640625" style="51" bestFit="1" customWidth="1"/>
    <col min="17" max="17" width="12" style="51" bestFit="1" customWidth="1"/>
    <col min="18" max="19" width="11.44140625" style="51"/>
    <col min="20" max="20" width="12.33203125" style="51" bestFit="1" customWidth="1"/>
    <col min="21" max="22" width="11.6640625" style="51" bestFit="1" customWidth="1"/>
    <col min="23" max="23" width="8" style="51" bestFit="1" customWidth="1"/>
    <col min="24" max="25" width="7.44140625" style="51" bestFit="1" customWidth="1"/>
    <col min="26" max="26" width="10.33203125" style="51" bestFit="1" customWidth="1"/>
    <col min="27" max="28" width="9.6640625" style="51" bestFit="1" customWidth="1"/>
    <col min="29" max="29" width="9.88671875" style="51" bestFit="1" customWidth="1"/>
    <col min="30" max="31" width="7.5546875" style="51" bestFit="1" customWidth="1"/>
    <col min="32" max="32" width="8.109375" style="51" bestFit="1" customWidth="1"/>
    <col min="33" max="34" width="7.5546875" style="51" bestFit="1" customWidth="1"/>
    <col min="35" max="35" width="17.6640625" style="51" bestFit="1" customWidth="1"/>
    <col min="36" max="37" width="17.109375" style="51" bestFit="1" customWidth="1"/>
    <col min="38" max="38" width="17.33203125" style="51" bestFit="1" customWidth="1"/>
    <col min="39" max="40" width="16.6640625" style="51" bestFit="1" customWidth="1"/>
    <col min="41" max="41" width="12.109375" style="51" bestFit="1" customWidth="1"/>
    <col min="42" max="43" width="11.5546875" style="51" bestFit="1" customWidth="1"/>
    <col min="44" max="44" width="16.33203125" style="51" bestFit="1" customWidth="1"/>
    <col min="45" max="45" width="15.5546875" style="51" bestFit="1" customWidth="1"/>
    <col min="46" max="46" width="14.109375" style="54" bestFit="1" customWidth="1"/>
    <col min="47" max="47" width="13.5546875" style="54" bestFit="1" customWidth="1"/>
    <col min="48" max="48" width="14.5546875" style="54" bestFit="1" customWidth="1"/>
    <col min="49" max="49" width="14" style="54" bestFit="1" customWidth="1"/>
    <col min="50" max="50" width="20.6640625" style="51" customWidth="1"/>
    <col min="51" max="51" width="19.109375" style="51" customWidth="1"/>
    <col min="52" max="52" width="25.6640625" style="51" customWidth="1"/>
    <col min="53" max="53" width="14.5546875" style="51" customWidth="1"/>
    <col min="54" max="54" width="17.5546875" style="51" bestFit="1" customWidth="1"/>
    <col min="55" max="56" width="17" style="51" bestFit="1" customWidth="1"/>
    <col min="57" max="57" width="12.33203125" style="51" hidden="1" customWidth="1"/>
    <col min="58" max="59" width="11.6640625" style="51" hidden="1" customWidth="1"/>
    <col min="60" max="60" width="11.109375" style="51" bestFit="1" customWidth="1"/>
    <col min="61" max="62" width="10.5546875" style="51" bestFit="1" customWidth="1"/>
    <col min="63" max="63" width="8.5546875" style="51" bestFit="1" customWidth="1"/>
    <col min="64" max="65" width="8" style="51" bestFit="1" customWidth="1"/>
    <col min="66" max="66" width="8.5546875" style="51" bestFit="1" customWidth="1"/>
    <col min="67" max="68" width="8" style="51" bestFit="1" customWidth="1"/>
    <col min="69" max="69" width="9.33203125" style="51" bestFit="1" customWidth="1"/>
    <col min="70" max="72" width="11.44140625" style="2"/>
    <col min="73" max="73" width="14" style="2" bestFit="1" customWidth="1"/>
    <col min="74" max="74" width="13.44140625" style="2" bestFit="1" customWidth="1"/>
    <col min="75" max="75" width="13.5546875" style="2" bestFit="1" customWidth="1"/>
    <col min="76" max="76" width="17.6640625" style="2" bestFit="1" customWidth="1"/>
    <col min="77" max="77" width="17.109375" style="2" bestFit="1" customWidth="1"/>
    <col min="78" max="78" width="17.33203125" style="2" bestFit="1" customWidth="1"/>
    <col min="79" max="16384" width="11.44140625" style="2"/>
  </cols>
  <sheetData>
    <row r="1" spans="1:78" s="9" customFormat="1">
      <c r="A1" s="9" t="s">
        <v>96</v>
      </c>
      <c r="B1" s="9" t="s">
        <v>159</v>
      </c>
      <c r="C1" s="9" t="s">
        <v>77</v>
      </c>
      <c r="D1" s="9" t="s">
        <v>79</v>
      </c>
      <c r="E1" s="9" t="s">
        <v>78</v>
      </c>
      <c r="F1" s="9" t="s">
        <v>150</v>
      </c>
      <c r="G1" s="9" t="s">
        <v>151</v>
      </c>
      <c r="H1" s="9" t="s">
        <v>215</v>
      </c>
      <c r="I1" s="9" t="s">
        <v>216</v>
      </c>
      <c r="J1" s="9" t="s">
        <v>222</v>
      </c>
      <c r="K1" s="9" t="s">
        <v>223</v>
      </c>
      <c r="L1" s="9" t="s">
        <v>231</v>
      </c>
      <c r="M1" s="9" t="s">
        <v>232</v>
      </c>
      <c r="N1" s="9" t="s">
        <v>210</v>
      </c>
      <c r="O1" s="51" t="s">
        <v>211</v>
      </c>
      <c r="P1" s="51" t="s">
        <v>212</v>
      </c>
      <c r="Q1" s="51" t="s">
        <v>97</v>
      </c>
      <c r="R1" s="51" t="s">
        <v>98</v>
      </c>
      <c r="S1" s="51" t="s">
        <v>99</v>
      </c>
      <c r="T1" s="51" t="s">
        <v>100</v>
      </c>
      <c r="U1" s="51" t="s">
        <v>101</v>
      </c>
      <c r="V1" s="51" t="s">
        <v>102</v>
      </c>
      <c r="W1" s="51" t="s">
        <v>103</v>
      </c>
      <c r="X1" s="51" t="s">
        <v>104</v>
      </c>
      <c r="Y1" s="51" t="s">
        <v>105</v>
      </c>
      <c r="Z1" s="51" t="s">
        <v>106</v>
      </c>
      <c r="AA1" s="51" t="s">
        <v>107</v>
      </c>
      <c r="AB1" s="51" t="s">
        <v>108</v>
      </c>
      <c r="AC1" s="51" t="s">
        <v>109</v>
      </c>
      <c r="AD1" s="51" t="s">
        <v>110</v>
      </c>
      <c r="AE1" s="51" t="s">
        <v>111</v>
      </c>
      <c r="AF1" s="51" t="s">
        <v>112</v>
      </c>
      <c r="AG1" s="51" t="s">
        <v>113</v>
      </c>
      <c r="AH1" s="51" t="s">
        <v>114</v>
      </c>
      <c r="AI1" s="51" t="s">
        <v>201</v>
      </c>
      <c r="AJ1" s="51" t="s">
        <v>202</v>
      </c>
      <c r="AK1" s="51" t="s">
        <v>203</v>
      </c>
      <c r="AL1" s="51" t="s">
        <v>172</v>
      </c>
      <c r="AM1" s="51" t="s">
        <v>173</v>
      </c>
      <c r="AN1" s="51" t="s">
        <v>174</v>
      </c>
      <c r="AO1" s="51" t="s">
        <v>152</v>
      </c>
      <c r="AP1" s="51" t="s">
        <v>153</v>
      </c>
      <c r="AQ1" s="51" t="s">
        <v>154</v>
      </c>
      <c r="AR1" s="51" t="s">
        <v>155</v>
      </c>
      <c r="AS1" s="51" t="s">
        <v>163</v>
      </c>
      <c r="AT1" s="51" t="s">
        <v>156</v>
      </c>
      <c r="AU1" s="51" t="s">
        <v>164</v>
      </c>
      <c r="AV1" s="51" t="s">
        <v>157</v>
      </c>
      <c r="AW1" s="51" t="s">
        <v>165</v>
      </c>
      <c r="AX1" s="51" t="s">
        <v>166</v>
      </c>
      <c r="AY1" s="51" t="s">
        <v>158</v>
      </c>
      <c r="AZ1" s="51" t="s">
        <v>181</v>
      </c>
      <c r="BA1" s="51" t="s">
        <v>182</v>
      </c>
      <c r="BB1" s="51" t="s">
        <v>176</v>
      </c>
      <c r="BC1" s="51" t="s">
        <v>177</v>
      </c>
      <c r="BD1" s="51" t="s">
        <v>178</v>
      </c>
      <c r="BE1" s="51" t="s">
        <v>115</v>
      </c>
      <c r="BF1" s="51" t="s">
        <v>116</v>
      </c>
      <c r="BG1" s="51" t="s">
        <v>117</v>
      </c>
      <c r="BH1" s="51" t="s">
        <v>118</v>
      </c>
      <c r="BI1" s="51" t="s">
        <v>119</v>
      </c>
      <c r="BJ1" s="51" t="s">
        <v>120</v>
      </c>
      <c r="BK1" s="51" t="s">
        <v>121</v>
      </c>
      <c r="BL1" s="51" t="s">
        <v>122</v>
      </c>
      <c r="BM1" s="51" t="s">
        <v>123</v>
      </c>
      <c r="BN1" s="51" t="s">
        <v>124</v>
      </c>
      <c r="BO1" s="51" t="s">
        <v>125</v>
      </c>
      <c r="BP1" s="51" t="s">
        <v>126</v>
      </c>
      <c r="BQ1" s="51"/>
      <c r="BR1" s="9" t="s">
        <v>224</v>
      </c>
      <c r="BS1" s="9" t="s">
        <v>225</v>
      </c>
      <c r="BT1" s="9" t="s">
        <v>226</v>
      </c>
      <c r="BU1" s="9" t="s">
        <v>234</v>
      </c>
      <c r="BV1" s="9" t="s">
        <v>235</v>
      </c>
      <c r="BW1" s="9" t="s">
        <v>236</v>
      </c>
      <c r="BX1" s="9" t="s">
        <v>237</v>
      </c>
      <c r="BY1" s="9" t="s">
        <v>238</v>
      </c>
      <c r="BZ1" s="9" t="s">
        <v>239</v>
      </c>
    </row>
    <row r="2" spans="1:78" s="9" customFormat="1">
      <c r="A2" s="9" t="s">
        <v>129</v>
      </c>
      <c r="B2" s="9" t="s">
        <v>69</v>
      </c>
      <c r="C2" s="28" t="s">
        <v>18</v>
      </c>
      <c r="D2" s="9" t="s">
        <v>29</v>
      </c>
      <c r="E2" s="9" t="s">
        <v>80</v>
      </c>
      <c r="F2" s="51">
        <v>1464</v>
      </c>
      <c r="G2" s="51">
        <v>379</v>
      </c>
      <c r="H2" s="9">
        <v>1160</v>
      </c>
      <c r="I2" s="9">
        <v>492</v>
      </c>
      <c r="J2" s="9">
        <v>1094</v>
      </c>
      <c r="K2" s="9">
        <v>497</v>
      </c>
      <c r="L2" s="9">
        <v>1112</v>
      </c>
      <c r="M2" s="9">
        <v>495</v>
      </c>
      <c r="N2" s="52">
        <v>-2.1</v>
      </c>
      <c r="O2" s="52">
        <v>4.9000000000000004</v>
      </c>
      <c r="P2" s="52">
        <v>3.1</v>
      </c>
      <c r="Q2" s="52">
        <v>21.4</v>
      </c>
      <c r="R2" s="52">
        <v>34.4</v>
      </c>
      <c r="S2" s="52">
        <v>33</v>
      </c>
      <c r="T2" s="52">
        <v>37.1</v>
      </c>
      <c r="U2" s="52">
        <v>25.5</v>
      </c>
      <c r="V2" s="52">
        <v>26.1</v>
      </c>
      <c r="W2" s="68">
        <v>127.1</v>
      </c>
      <c r="X2" s="68">
        <v>106.9</v>
      </c>
      <c r="Y2" s="68">
        <v>108.2</v>
      </c>
      <c r="Z2" s="68">
        <v>9.8000000000000007</v>
      </c>
      <c r="AA2" s="68">
        <v>9.1</v>
      </c>
      <c r="AB2" s="68">
        <v>8.9</v>
      </c>
      <c r="AC2" s="80">
        <v>1.5</v>
      </c>
      <c r="AD2" s="80">
        <v>1.63</v>
      </c>
      <c r="AE2" s="80">
        <v>1.59</v>
      </c>
      <c r="AF2" s="52">
        <v>28.8</v>
      </c>
      <c r="AG2" s="52">
        <v>27.5</v>
      </c>
      <c r="AH2" s="52">
        <v>28.1</v>
      </c>
      <c r="AI2" s="68">
        <v>90</v>
      </c>
      <c r="AJ2" s="68">
        <v>89.1</v>
      </c>
      <c r="AK2" s="68">
        <v>88.4</v>
      </c>
      <c r="AL2" s="52">
        <v>0.8</v>
      </c>
      <c r="AM2" s="52">
        <v>3</v>
      </c>
      <c r="AN2" s="51">
        <v>2.9</v>
      </c>
      <c r="AO2" s="52">
        <v>2.1</v>
      </c>
      <c r="AP2" s="68">
        <v>2.1</v>
      </c>
      <c r="AQ2" s="68">
        <v>3.4</v>
      </c>
      <c r="AR2" s="51">
        <v>73</v>
      </c>
      <c r="AS2" s="51">
        <v>-15</v>
      </c>
      <c r="AT2" s="51">
        <v>87</v>
      </c>
      <c r="AU2" s="51">
        <v>-9</v>
      </c>
      <c r="AV2" s="51">
        <v>94</v>
      </c>
      <c r="AW2" s="51">
        <v>-5</v>
      </c>
      <c r="AX2" s="52">
        <v>95.170454545454547</v>
      </c>
      <c r="AY2" s="51">
        <v>-3</v>
      </c>
      <c r="AZ2" s="52">
        <v>87.342657342657333</v>
      </c>
      <c r="BA2" s="52">
        <v>87.606623181133969</v>
      </c>
      <c r="BB2" s="52">
        <v>75.661375661375658</v>
      </c>
      <c r="BC2" s="52">
        <v>77.272727272727266</v>
      </c>
      <c r="BD2" s="52">
        <v>76.719576719576722</v>
      </c>
      <c r="BE2" s="52"/>
      <c r="BF2" s="52"/>
      <c r="BG2" s="53"/>
      <c r="BH2" s="52">
        <v>92.6</v>
      </c>
      <c r="BI2" s="52">
        <v>88.3</v>
      </c>
      <c r="BJ2" s="52">
        <v>85.9</v>
      </c>
      <c r="BK2" s="52">
        <v>7.9</v>
      </c>
      <c r="BL2" s="52">
        <v>5.8</v>
      </c>
      <c r="BM2" s="53">
        <v>6.2</v>
      </c>
      <c r="BN2" s="52">
        <v>48.8</v>
      </c>
      <c r="BO2" s="52">
        <v>45.5</v>
      </c>
      <c r="BP2" s="52">
        <v>46</v>
      </c>
      <c r="BQ2" s="52" t="s">
        <v>69</v>
      </c>
      <c r="BR2" s="84">
        <v>8.2266910420475323</v>
      </c>
      <c r="BS2" s="84">
        <v>25.1</v>
      </c>
      <c r="BT2" s="84">
        <v>24</v>
      </c>
      <c r="BU2" s="84">
        <v>93.9</v>
      </c>
      <c r="BV2" s="84">
        <v>87.3</v>
      </c>
      <c r="BW2" s="9">
        <v>88.4</v>
      </c>
      <c r="BX2" s="84">
        <v>81.599999999999994</v>
      </c>
      <c r="BY2" s="9">
        <v>62.8</v>
      </c>
      <c r="BZ2" s="9">
        <v>62.8</v>
      </c>
    </row>
    <row r="3" spans="1:78" s="9" customFormat="1">
      <c r="A3" s="9" t="s">
        <v>130</v>
      </c>
      <c r="B3" s="9" t="s">
        <v>35</v>
      </c>
      <c r="C3" s="28" t="s">
        <v>18</v>
      </c>
      <c r="D3" s="9" t="s">
        <v>29</v>
      </c>
      <c r="E3" s="9" t="s">
        <v>81</v>
      </c>
      <c r="F3" s="51">
        <v>1005</v>
      </c>
      <c r="G3" s="51">
        <v>334</v>
      </c>
      <c r="H3" s="9">
        <v>657</v>
      </c>
      <c r="I3" s="9">
        <v>473</v>
      </c>
      <c r="J3" s="9">
        <v>694</v>
      </c>
      <c r="K3" s="9">
        <v>460</v>
      </c>
      <c r="L3" s="9">
        <v>708</v>
      </c>
      <c r="M3" s="53">
        <v>435</v>
      </c>
      <c r="N3" s="52">
        <v>-2.1</v>
      </c>
      <c r="O3" s="52">
        <v>4.9000000000000004</v>
      </c>
      <c r="P3" s="52">
        <v>3.1</v>
      </c>
      <c r="Q3" s="52">
        <v>36.9</v>
      </c>
      <c r="R3" s="52">
        <v>34.4</v>
      </c>
      <c r="S3" s="52">
        <v>33</v>
      </c>
      <c r="T3" s="52">
        <v>22.5</v>
      </c>
      <c r="U3" s="52">
        <v>25.5</v>
      </c>
      <c r="V3" s="52">
        <v>26.1</v>
      </c>
      <c r="W3" s="68">
        <v>97.4</v>
      </c>
      <c r="X3" s="68">
        <v>106.9</v>
      </c>
      <c r="Y3" s="68">
        <v>108.2</v>
      </c>
      <c r="Z3" s="68">
        <v>7.9</v>
      </c>
      <c r="AA3" s="68">
        <v>9.1</v>
      </c>
      <c r="AB3" s="68">
        <v>8.9</v>
      </c>
      <c r="AC3" s="80">
        <v>1.8</v>
      </c>
      <c r="AD3" s="80">
        <v>1.63</v>
      </c>
      <c r="AE3" s="80">
        <v>1.59</v>
      </c>
      <c r="AF3" s="52">
        <v>26.7</v>
      </c>
      <c r="AG3" s="52">
        <v>27.5</v>
      </c>
      <c r="AH3" s="52">
        <v>28.1</v>
      </c>
      <c r="AI3" s="68">
        <v>88.2</v>
      </c>
      <c r="AJ3" s="68">
        <v>89.1</v>
      </c>
      <c r="AK3" s="68">
        <v>88.4</v>
      </c>
      <c r="AL3" s="52">
        <v>3</v>
      </c>
      <c r="AM3" s="52">
        <v>3</v>
      </c>
      <c r="AN3" s="51">
        <v>2.9</v>
      </c>
      <c r="AO3" s="52">
        <v>6.3</v>
      </c>
      <c r="AP3" s="68">
        <v>2.1</v>
      </c>
      <c r="AQ3" s="68">
        <v>3.4</v>
      </c>
      <c r="AR3" s="51">
        <v>60</v>
      </c>
      <c r="AS3" s="51">
        <v>-26</v>
      </c>
      <c r="AT3" s="51">
        <v>78</v>
      </c>
      <c r="AU3" s="51">
        <v>-15</v>
      </c>
      <c r="AV3" s="51">
        <v>87</v>
      </c>
      <c r="AW3" s="51">
        <v>-9</v>
      </c>
      <c r="AX3" s="52">
        <v>82.439024390243901</v>
      </c>
      <c r="AY3" s="51">
        <v>-12</v>
      </c>
      <c r="AZ3" s="52">
        <v>87.342657342657333</v>
      </c>
      <c r="BA3" s="52">
        <v>87.606623181133969</v>
      </c>
      <c r="BB3" s="52">
        <v>78.504672897196258</v>
      </c>
      <c r="BC3" s="52">
        <v>77.272727272727266</v>
      </c>
      <c r="BD3" s="52">
        <v>76.719576719576722</v>
      </c>
      <c r="BE3" s="52"/>
      <c r="BF3" s="52"/>
      <c r="BG3" s="53"/>
      <c r="BH3" s="52">
        <v>88.4</v>
      </c>
      <c r="BI3" s="52">
        <v>88.3</v>
      </c>
      <c r="BJ3" s="52">
        <v>85.9</v>
      </c>
      <c r="BK3" s="52">
        <v>7.3</v>
      </c>
      <c r="BL3" s="52">
        <v>5.8</v>
      </c>
      <c r="BM3" s="53">
        <v>6.2</v>
      </c>
      <c r="BN3" s="52">
        <v>44.6</v>
      </c>
      <c r="BO3" s="52">
        <v>45.5</v>
      </c>
      <c r="BP3" s="52">
        <v>46</v>
      </c>
      <c r="BQ3" s="52" t="s">
        <v>35</v>
      </c>
      <c r="BR3" s="84">
        <v>37.463976945244958</v>
      </c>
      <c r="BS3" s="84">
        <v>25.1</v>
      </c>
      <c r="BT3" s="84">
        <v>24</v>
      </c>
      <c r="BU3" s="84">
        <v>79.599999999999994</v>
      </c>
      <c r="BV3" s="84">
        <v>87.3</v>
      </c>
      <c r="BW3" s="9">
        <v>88.4</v>
      </c>
      <c r="BX3" s="84">
        <v>53.6</v>
      </c>
      <c r="BY3" s="9">
        <v>62.8</v>
      </c>
      <c r="BZ3" s="9">
        <v>62.8</v>
      </c>
    </row>
    <row r="4" spans="1:78" s="9" customFormat="1">
      <c r="A4" s="9" t="s">
        <v>132</v>
      </c>
      <c r="B4" s="9" t="s">
        <v>70</v>
      </c>
      <c r="C4" s="9" t="s">
        <v>76</v>
      </c>
      <c r="D4" s="9" t="s">
        <v>29</v>
      </c>
      <c r="E4" s="9" t="s">
        <v>83</v>
      </c>
      <c r="F4" s="51">
        <v>842</v>
      </c>
      <c r="G4" s="51">
        <v>118</v>
      </c>
      <c r="H4" s="9">
        <v>927</v>
      </c>
      <c r="I4" s="9">
        <v>171</v>
      </c>
      <c r="J4" s="9">
        <v>931</v>
      </c>
      <c r="K4" s="9">
        <v>157</v>
      </c>
      <c r="L4" s="9">
        <v>919</v>
      </c>
      <c r="M4" s="9">
        <v>162</v>
      </c>
      <c r="N4" s="52">
        <v>-1.7</v>
      </c>
      <c r="O4" s="52">
        <v>-1.1000000000000001</v>
      </c>
      <c r="P4" s="52">
        <v>3.1</v>
      </c>
      <c r="Q4" s="52">
        <v>16.5</v>
      </c>
      <c r="R4" s="52">
        <v>28.7</v>
      </c>
      <c r="S4" s="52">
        <v>33</v>
      </c>
      <c r="T4" s="52">
        <v>40.4</v>
      </c>
      <c r="U4" s="52">
        <v>28</v>
      </c>
      <c r="V4" s="52">
        <v>26.1</v>
      </c>
      <c r="W4" s="68">
        <v>124.5</v>
      </c>
      <c r="X4" s="68">
        <v>111.7</v>
      </c>
      <c r="Y4" s="68">
        <v>108.2</v>
      </c>
      <c r="Z4" s="68">
        <v>2.8</v>
      </c>
      <c r="AA4" s="68">
        <v>8.6</v>
      </c>
      <c r="AB4" s="68">
        <v>8.9</v>
      </c>
      <c r="AC4" s="80">
        <v>1.41</v>
      </c>
      <c r="AD4" s="80">
        <v>1.5</v>
      </c>
      <c r="AE4" s="80">
        <v>1.59</v>
      </c>
      <c r="AF4" s="52">
        <v>31</v>
      </c>
      <c r="AG4" s="52">
        <v>29.6</v>
      </c>
      <c r="AH4" s="52">
        <v>28.1</v>
      </c>
      <c r="AI4" s="68">
        <v>89.8</v>
      </c>
      <c r="AJ4" s="68">
        <v>86.5</v>
      </c>
      <c r="AK4" s="68">
        <v>88.4</v>
      </c>
      <c r="AL4" s="52">
        <v>1.9</v>
      </c>
      <c r="AM4" s="52">
        <v>2.5</v>
      </c>
      <c r="AN4" s="51">
        <v>2.9</v>
      </c>
      <c r="AO4" s="52">
        <v>3.7</v>
      </c>
      <c r="AP4" s="68">
        <v>6.9</v>
      </c>
      <c r="AQ4" s="68">
        <v>3.4</v>
      </c>
      <c r="AR4" s="51">
        <v>81</v>
      </c>
      <c r="AS4" s="51">
        <v>-10</v>
      </c>
      <c r="AT4" s="51">
        <v>91</v>
      </c>
      <c r="AU4" s="51">
        <v>-6</v>
      </c>
      <c r="AV4" s="51">
        <v>98</v>
      </c>
      <c r="AW4" s="51">
        <v>-1</v>
      </c>
      <c r="AX4" s="52">
        <v>99.659863945578238</v>
      </c>
      <c r="AY4" s="51">
        <v>1</v>
      </c>
      <c r="AZ4" s="52">
        <v>88.277087033747776</v>
      </c>
      <c r="BA4" s="52">
        <v>87.606623181133969</v>
      </c>
      <c r="BB4" s="52">
        <v>80.952380952380949</v>
      </c>
      <c r="BC4" s="52">
        <v>74.285714285714292</v>
      </c>
      <c r="BD4" s="52">
        <v>76.719576719576722</v>
      </c>
      <c r="BE4" s="85"/>
      <c r="BF4" s="85"/>
      <c r="BG4" s="53"/>
      <c r="BH4" s="52">
        <v>80.099999999999994</v>
      </c>
      <c r="BI4" s="52">
        <v>77</v>
      </c>
      <c r="BJ4" s="52">
        <v>85.9</v>
      </c>
      <c r="BK4" s="52">
        <v>7.4</v>
      </c>
      <c r="BL4" s="52">
        <v>7.5</v>
      </c>
      <c r="BM4" s="53">
        <v>6.2</v>
      </c>
      <c r="BN4" s="52">
        <v>46.9</v>
      </c>
      <c r="BO4" s="52">
        <v>47.7</v>
      </c>
      <c r="BP4" s="52">
        <v>46</v>
      </c>
      <c r="BQ4" s="52" t="s">
        <v>70</v>
      </c>
      <c r="BR4" s="84">
        <v>5.5853920515574655</v>
      </c>
      <c r="BS4" s="84">
        <v>21</v>
      </c>
      <c r="BT4" s="84">
        <v>24</v>
      </c>
      <c r="BU4" s="84">
        <v>96</v>
      </c>
      <c r="BV4" s="9">
        <v>91.5</v>
      </c>
      <c r="BW4" s="9">
        <v>88.4</v>
      </c>
      <c r="BX4" s="84">
        <v>80</v>
      </c>
      <c r="BY4" s="9">
        <v>62.8</v>
      </c>
      <c r="BZ4" s="9">
        <v>62.8</v>
      </c>
    </row>
    <row r="5" spans="1:78" s="9" customFormat="1">
      <c r="A5" s="9" t="s">
        <v>141</v>
      </c>
      <c r="B5" s="9" t="s">
        <v>65</v>
      </c>
      <c r="C5" s="9" t="s">
        <v>76</v>
      </c>
      <c r="D5" s="9" t="s">
        <v>29</v>
      </c>
      <c r="E5" s="9" t="s">
        <v>85</v>
      </c>
      <c r="F5" s="51">
        <v>302</v>
      </c>
      <c r="G5" s="53" t="s">
        <v>12</v>
      </c>
      <c r="H5" s="9">
        <v>336</v>
      </c>
      <c r="I5" s="53" t="s">
        <v>12</v>
      </c>
      <c r="J5" s="9">
        <v>320</v>
      </c>
      <c r="K5" s="53" t="s">
        <v>12</v>
      </c>
      <c r="L5" s="9">
        <v>297</v>
      </c>
      <c r="M5" s="53" t="s">
        <v>12</v>
      </c>
      <c r="N5" s="52">
        <v>-1.7</v>
      </c>
      <c r="O5" s="52">
        <v>-1.1000000000000001</v>
      </c>
      <c r="P5" s="52">
        <v>3.1</v>
      </c>
      <c r="Q5" s="52">
        <v>39.700000000000003</v>
      </c>
      <c r="R5" s="52">
        <v>28.7</v>
      </c>
      <c r="S5" s="52">
        <v>33</v>
      </c>
      <c r="T5" s="52">
        <v>12.5</v>
      </c>
      <c r="U5" s="52">
        <v>28</v>
      </c>
      <c r="V5" s="52">
        <v>26.1</v>
      </c>
      <c r="W5" s="68">
        <v>96.2</v>
      </c>
      <c r="X5" s="68">
        <v>111.7</v>
      </c>
      <c r="Y5" s="68">
        <v>108.2</v>
      </c>
      <c r="Z5" s="68">
        <v>18.2</v>
      </c>
      <c r="AA5" s="68">
        <v>8.6</v>
      </c>
      <c r="AB5" s="68">
        <v>8.9</v>
      </c>
      <c r="AC5" s="80">
        <v>1.69</v>
      </c>
      <c r="AD5" s="80">
        <v>1.5</v>
      </c>
      <c r="AE5" s="80">
        <v>1.59</v>
      </c>
      <c r="AF5" s="52">
        <v>26.7</v>
      </c>
      <c r="AG5" s="52">
        <v>29.6</v>
      </c>
      <c r="AH5" s="52">
        <v>28.1</v>
      </c>
      <c r="AI5" s="68">
        <v>63.6</v>
      </c>
      <c r="AJ5" s="68">
        <v>86.5</v>
      </c>
      <c r="AK5" s="68">
        <v>88.4</v>
      </c>
      <c r="AL5" s="52">
        <v>6.6</v>
      </c>
      <c r="AM5" s="52">
        <v>2.5</v>
      </c>
      <c r="AN5" s="51">
        <v>2.9</v>
      </c>
      <c r="AO5" s="52">
        <v>22.3</v>
      </c>
      <c r="AP5" s="68">
        <v>6.9</v>
      </c>
      <c r="AQ5" s="68">
        <v>3.4</v>
      </c>
      <c r="AR5" s="51">
        <v>61</v>
      </c>
      <c r="AS5" s="51">
        <v>-21</v>
      </c>
      <c r="AT5" s="51">
        <v>74</v>
      </c>
      <c r="AU5" s="51">
        <v>-17</v>
      </c>
      <c r="AV5" s="51">
        <v>84</v>
      </c>
      <c r="AW5" s="51">
        <v>-10</v>
      </c>
      <c r="AX5" s="52">
        <v>71.698113207547166</v>
      </c>
      <c r="AY5" s="51">
        <v>-19</v>
      </c>
      <c r="AZ5" s="52">
        <v>88.277087033747776</v>
      </c>
      <c r="BA5" s="52">
        <v>87.606623181133969</v>
      </c>
      <c r="BB5" s="52" t="s">
        <v>12</v>
      </c>
      <c r="BC5" s="52">
        <v>74.285714285714292</v>
      </c>
      <c r="BD5" s="52">
        <v>76.719576719576722</v>
      </c>
      <c r="BE5" s="85"/>
      <c r="BF5" s="85"/>
      <c r="BG5" s="53"/>
      <c r="BH5" s="52">
        <v>70.8</v>
      </c>
      <c r="BI5" s="52">
        <v>77</v>
      </c>
      <c r="BJ5" s="52">
        <v>85.9</v>
      </c>
      <c r="BK5" s="52">
        <v>8.4</v>
      </c>
      <c r="BL5" s="52">
        <v>7.5</v>
      </c>
      <c r="BM5" s="53">
        <v>6.2</v>
      </c>
      <c r="BN5" s="52">
        <v>50.9</v>
      </c>
      <c r="BO5" s="52">
        <v>47.7</v>
      </c>
      <c r="BP5" s="52">
        <v>46</v>
      </c>
      <c r="BQ5" s="52" t="s">
        <v>65</v>
      </c>
      <c r="BR5" s="84">
        <v>64.6875</v>
      </c>
      <c r="BS5" s="84">
        <v>21</v>
      </c>
      <c r="BT5" s="84">
        <v>24</v>
      </c>
      <c r="BU5" s="84">
        <v>79.8</v>
      </c>
      <c r="BV5" s="9">
        <v>91.5</v>
      </c>
      <c r="BW5" s="9">
        <v>88.4</v>
      </c>
      <c r="BX5" s="84">
        <v>34.700000000000003</v>
      </c>
      <c r="BY5" s="9">
        <v>62.8</v>
      </c>
      <c r="BZ5" s="9">
        <v>62.8</v>
      </c>
    </row>
    <row r="6" spans="1:78" s="9" customFormat="1">
      <c r="A6" s="9" t="s">
        <v>144</v>
      </c>
      <c r="B6" s="9" t="s">
        <v>68</v>
      </c>
      <c r="C6" s="28" t="s">
        <v>18</v>
      </c>
      <c r="D6" s="9" t="s">
        <v>92</v>
      </c>
      <c r="E6" s="9" t="s">
        <v>81</v>
      </c>
      <c r="F6" s="51">
        <v>223</v>
      </c>
      <c r="G6" s="53" t="s">
        <v>12</v>
      </c>
      <c r="H6" s="9">
        <v>244</v>
      </c>
      <c r="I6" s="53" t="s">
        <v>12</v>
      </c>
      <c r="J6" s="9">
        <v>247</v>
      </c>
      <c r="K6" s="53" t="s">
        <v>12</v>
      </c>
      <c r="L6" s="9">
        <v>252</v>
      </c>
      <c r="M6" s="53" t="s">
        <v>12</v>
      </c>
      <c r="N6" s="52">
        <v>19.8</v>
      </c>
      <c r="O6" s="52">
        <v>4.9000000000000004</v>
      </c>
      <c r="P6" s="52">
        <v>3.1</v>
      </c>
      <c r="Q6" s="52">
        <v>48.6</v>
      </c>
      <c r="R6" s="52">
        <v>34.4</v>
      </c>
      <c r="S6" s="52">
        <v>33</v>
      </c>
      <c r="T6" s="52">
        <v>12.1</v>
      </c>
      <c r="U6" s="52">
        <v>25.5</v>
      </c>
      <c r="V6" s="52">
        <v>26.1</v>
      </c>
      <c r="W6" s="68">
        <v>87.8</v>
      </c>
      <c r="X6" s="68">
        <v>106.9</v>
      </c>
      <c r="Y6" s="68">
        <v>108.2</v>
      </c>
      <c r="Z6" s="68">
        <v>20</v>
      </c>
      <c r="AA6" s="68">
        <v>9.1</v>
      </c>
      <c r="AB6" s="68">
        <v>8.9</v>
      </c>
      <c r="AC6" s="80">
        <v>1.98</v>
      </c>
      <c r="AD6" s="80">
        <v>1.63</v>
      </c>
      <c r="AE6" s="80">
        <v>1.59</v>
      </c>
      <c r="AF6" s="52">
        <v>22.5</v>
      </c>
      <c r="AG6" s="52">
        <v>27.5</v>
      </c>
      <c r="AH6" s="52">
        <v>28.1</v>
      </c>
      <c r="AI6" s="68">
        <v>81.5</v>
      </c>
      <c r="AJ6" s="68">
        <v>89.1</v>
      </c>
      <c r="AK6" s="68">
        <v>88.4</v>
      </c>
      <c r="AL6" s="52">
        <v>3.7</v>
      </c>
      <c r="AM6" s="52">
        <v>3</v>
      </c>
      <c r="AN6" s="51">
        <v>2.9</v>
      </c>
      <c r="AO6" s="52">
        <v>2.8</v>
      </c>
      <c r="AP6" s="68">
        <v>2.1</v>
      </c>
      <c r="AQ6" s="68">
        <v>3.4</v>
      </c>
      <c r="AR6" s="51">
        <v>78</v>
      </c>
      <c r="AS6" s="51">
        <v>-7</v>
      </c>
      <c r="AT6" s="51">
        <v>90</v>
      </c>
      <c r="AU6" s="51">
        <v>-4</v>
      </c>
      <c r="AV6" s="51">
        <v>100</v>
      </c>
      <c r="AW6" s="51">
        <v>4</v>
      </c>
      <c r="AX6" s="52">
        <v>95.588235294117652</v>
      </c>
      <c r="AY6" s="51">
        <v>1</v>
      </c>
      <c r="AZ6" s="52">
        <v>87.342657342657333</v>
      </c>
      <c r="BA6" s="52">
        <v>87.606623181133969</v>
      </c>
      <c r="BB6" s="52" t="s">
        <v>12</v>
      </c>
      <c r="BC6" s="52">
        <v>77.272727272727266</v>
      </c>
      <c r="BD6" s="52">
        <v>76.719576719576722</v>
      </c>
      <c r="BE6" s="52"/>
      <c r="BF6" s="52"/>
      <c r="BG6" s="53"/>
      <c r="BH6" s="52">
        <v>61.5</v>
      </c>
      <c r="BI6" s="52">
        <v>88.3</v>
      </c>
      <c r="BJ6" s="52">
        <v>85.9</v>
      </c>
      <c r="BK6" s="52">
        <v>3.1</v>
      </c>
      <c r="BL6" s="52">
        <v>5.8</v>
      </c>
      <c r="BM6" s="53">
        <v>6.2</v>
      </c>
      <c r="BN6" s="52">
        <v>44.7</v>
      </c>
      <c r="BO6" s="52">
        <v>45.5</v>
      </c>
      <c r="BP6" s="52">
        <v>46</v>
      </c>
      <c r="BQ6" s="52" t="s">
        <v>68</v>
      </c>
      <c r="BR6" s="84">
        <v>85.829959514170042</v>
      </c>
      <c r="BS6" s="84">
        <v>25.1</v>
      </c>
      <c r="BT6" s="84">
        <v>24</v>
      </c>
      <c r="BU6" s="84">
        <v>77.5</v>
      </c>
      <c r="BV6" s="84">
        <v>87.3</v>
      </c>
      <c r="BW6" s="9">
        <v>88.4</v>
      </c>
      <c r="BX6" s="84">
        <v>55.6</v>
      </c>
      <c r="BY6" s="9">
        <v>62.8</v>
      </c>
      <c r="BZ6" s="9">
        <v>62.8</v>
      </c>
    </row>
    <row r="7" spans="1:78" s="9" customFormat="1">
      <c r="A7" s="9" t="s">
        <v>145</v>
      </c>
      <c r="B7" s="9" t="s">
        <v>71</v>
      </c>
      <c r="C7" s="9" t="s">
        <v>76</v>
      </c>
      <c r="D7" s="9" t="s">
        <v>88</v>
      </c>
      <c r="E7" s="9" t="s">
        <v>83</v>
      </c>
      <c r="F7" s="51">
        <v>454</v>
      </c>
      <c r="G7" s="53" t="s">
        <v>12</v>
      </c>
      <c r="H7" s="9">
        <v>483</v>
      </c>
      <c r="I7" s="9">
        <v>92</v>
      </c>
      <c r="J7" s="9">
        <v>494</v>
      </c>
      <c r="K7" s="9">
        <v>86</v>
      </c>
      <c r="L7" s="9">
        <v>454</v>
      </c>
      <c r="M7" s="9">
        <v>86</v>
      </c>
      <c r="N7" s="52">
        <v>0</v>
      </c>
      <c r="O7" s="52">
        <v>-1.1000000000000001</v>
      </c>
      <c r="P7" s="52">
        <v>3.1</v>
      </c>
      <c r="Q7" s="52">
        <v>45.5</v>
      </c>
      <c r="R7" s="52">
        <v>28.7</v>
      </c>
      <c r="S7" s="52">
        <v>33</v>
      </c>
      <c r="T7" s="52">
        <v>13.1</v>
      </c>
      <c r="U7" s="52">
        <v>28</v>
      </c>
      <c r="V7" s="52">
        <v>26.1</v>
      </c>
      <c r="W7" s="68">
        <v>97.3</v>
      </c>
      <c r="X7" s="68">
        <v>111.7</v>
      </c>
      <c r="Y7" s="68">
        <v>108.2</v>
      </c>
      <c r="Z7" s="68">
        <v>13.7</v>
      </c>
      <c r="AA7" s="68">
        <v>8.6</v>
      </c>
      <c r="AB7" s="68">
        <v>8.9</v>
      </c>
      <c r="AC7" s="80">
        <v>1.57</v>
      </c>
      <c r="AD7" s="80">
        <v>1.5</v>
      </c>
      <c r="AE7" s="80">
        <v>1.59</v>
      </c>
      <c r="AF7" s="52">
        <v>29.1</v>
      </c>
      <c r="AG7" s="52">
        <v>29.6</v>
      </c>
      <c r="AH7" s="52">
        <v>28.1</v>
      </c>
      <c r="AI7" s="68">
        <v>96.9</v>
      </c>
      <c r="AJ7" s="68">
        <v>86.5</v>
      </c>
      <c r="AK7" s="68">
        <v>88.4</v>
      </c>
      <c r="AL7" s="52">
        <v>0.6</v>
      </c>
      <c r="AM7" s="52">
        <v>2.5</v>
      </c>
      <c r="AN7" s="51">
        <v>2.9</v>
      </c>
      <c r="AO7" s="52">
        <v>1.9</v>
      </c>
      <c r="AP7" s="68">
        <v>6.9</v>
      </c>
      <c r="AQ7" s="68">
        <v>3.4</v>
      </c>
      <c r="AR7" s="51">
        <v>66</v>
      </c>
      <c r="AS7" s="51">
        <v>-20</v>
      </c>
      <c r="AT7" s="51">
        <v>76</v>
      </c>
      <c r="AU7" s="51">
        <v>-18</v>
      </c>
      <c r="AV7" s="51">
        <v>84</v>
      </c>
      <c r="AW7" s="51">
        <v>-12</v>
      </c>
      <c r="AX7" s="52">
        <v>78.527607361963192</v>
      </c>
      <c r="AY7" s="51">
        <v>-14</v>
      </c>
      <c r="AZ7" s="52">
        <v>88.277087033747776</v>
      </c>
      <c r="BA7" s="52">
        <v>87.606623181133969</v>
      </c>
      <c r="BB7" s="52">
        <v>64.285714285714292</v>
      </c>
      <c r="BC7" s="52">
        <v>74.285714285714292</v>
      </c>
      <c r="BD7" s="52">
        <v>76.719576719576722</v>
      </c>
      <c r="BE7" s="85"/>
      <c r="BF7" s="85"/>
      <c r="BG7" s="53"/>
      <c r="BH7" s="52">
        <v>78.3</v>
      </c>
      <c r="BI7" s="52">
        <v>77</v>
      </c>
      <c r="BJ7" s="52">
        <v>85.9</v>
      </c>
      <c r="BK7" s="52">
        <v>6.8</v>
      </c>
      <c r="BL7" s="52">
        <v>7.5</v>
      </c>
      <c r="BM7" s="53">
        <v>6.2</v>
      </c>
      <c r="BN7" s="52">
        <v>45.9</v>
      </c>
      <c r="BO7" s="52">
        <v>47.7</v>
      </c>
      <c r="BP7" s="52">
        <v>46</v>
      </c>
      <c r="BQ7" s="52" t="s">
        <v>71</v>
      </c>
      <c r="BR7" s="84">
        <v>21.659919028340081</v>
      </c>
      <c r="BS7" s="84">
        <v>21</v>
      </c>
      <c r="BT7" s="84">
        <v>24</v>
      </c>
      <c r="BU7" s="84">
        <v>91.2</v>
      </c>
      <c r="BV7" s="9">
        <v>91.5</v>
      </c>
      <c r="BW7" s="9">
        <v>88.4</v>
      </c>
      <c r="BX7" s="84">
        <v>47.6</v>
      </c>
      <c r="BY7" s="9">
        <v>62.8</v>
      </c>
      <c r="BZ7" s="9">
        <v>62.8</v>
      </c>
    </row>
    <row r="8" spans="1:78" s="9" customFormat="1">
      <c r="A8" s="9" t="s">
        <v>146</v>
      </c>
      <c r="B8" s="9" t="s">
        <v>72</v>
      </c>
      <c r="C8" s="28" t="s">
        <v>18</v>
      </c>
      <c r="D8" s="9" t="s">
        <v>86</v>
      </c>
      <c r="E8" s="9" t="s">
        <v>80</v>
      </c>
      <c r="F8" s="51">
        <v>307</v>
      </c>
      <c r="G8" s="53" t="s">
        <v>12</v>
      </c>
      <c r="H8" s="9">
        <v>241</v>
      </c>
      <c r="I8" s="9">
        <v>33</v>
      </c>
      <c r="J8" s="9">
        <v>223</v>
      </c>
      <c r="K8" s="9">
        <v>33</v>
      </c>
      <c r="L8" s="9">
        <v>215</v>
      </c>
      <c r="M8" s="9">
        <v>29</v>
      </c>
      <c r="N8" s="52">
        <v>10.1</v>
      </c>
      <c r="O8" s="52">
        <v>4.9000000000000004</v>
      </c>
      <c r="P8" s="52">
        <v>3.1</v>
      </c>
      <c r="Q8" s="52">
        <v>56.6</v>
      </c>
      <c r="R8" s="52">
        <v>34.4</v>
      </c>
      <c r="S8" s="52">
        <v>33</v>
      </c>
      <c r="T8" s="52">
        <v>14.8</v>
      </c>
      <c r="U8" s="52">
        <v>25.5</v>
      </c>
      <c r="V8" s="52">
        <v>26.1</v>
      </c>
      <c r="W8" s="68">
        <v>90.4</v>
      </c>
      <c r="X8" s="68">
        <v>106.9</v>
      </c>
      <c r="Y8" s="68">
        <v>108.2</v>
      </c>
      <c r="Z8" s="68">
        <v>5.7</v>
      </c>
      <c r="AA8" s="68">
        <v>9.1</v>
      </c>
      <c r="AB8" s="68">
        <v>8.9</v>
      </c>
      <c r="AC8" s="80">
        <v>2.15</v>
      </c>
      <c r="AD8" s="80">
        <v>1.63</v>
      </c>
      <c r="AE8" s="80">
        <v>1.59</v>
      </c>
      <c r="AF8" s="52">
        <v>20.3</v>
      </c>
      <c r="AG8" s="52">
        <v>27.5</v>
      </c>
      <c r="AH8" s="52">
        <v>28.1</v>
      </c>
      <c r="AI8" s="68">
        <v>84.6</v>
      </c>
      <c r="AJ8" s="68">
        <v>89.1</v>
      </c>
      <c r="AK8" s="68">
        <v>88.4</v>
      </c>
      <c r="AL8" s="52">
        <v>7.7</v>
      </c>
      <c r="AM8" s="52">
        <v>3</v>
      </c>
      <c r="AN8" s="51">
        <v>2.9</v>
      </c>
      <c r="AO8" s="52">
        <v>3.8</v>
      </c>
      <c r="AP8" s="68">
        <v>2.1</v>
      </c>
      <c r="AQ8" s="68">
        <v>3.4</v>
      </c>
      <c r="AR8" s="51">
        <v>57</v>
      </c>
      <c r="AS8" s="51">
        <v>-28</v>
      </c>
      <c r="AT8" s="51">
        <v>81</v>
      </c>
      <c r="AU8" s="51">
        <v>-11</v>
      </c>
      <c r="AV8" s="51">
        <v>85</v>
      </c>
      <c r="AW8" s="51">
        <v>-9</v>
      </c>
      <c r="AX8" s="52">
        <v>76.712328767123282</v>
      </c>
      <c r="AY8" s="51">
        <v>-12</v>
      </c>
      <c r="AZ8" s="52">
        <v>87.342657342657333</v>
      </c>
      <c r="BA8" s="52">
        <v>87.606623181133969</v>
      </c>
      <c r="BB8" s="52">
        <v>73.333333333333329</v>
      </c>
      <c r="BC8" s="52">
        <v>77.272727272727266</v>
      </c>
      <c r="BD8" s="52">
        <v>76.719576719576722</v>
      </c>
      <c r="BE8" s="52"/>
      <c r="BF8" s="52"/>
      <c r="BG8" s="53"/>
      <c r="BH8" s="52">
        <v>91.1</v>
      </c>
      <c r="BI8" s="52">
        <v>88.3</v>
      </c>
      <c r="BJ8" s="52">
        <v>85.9</v>
      </c>
      <c r="BK8" s="52">
        <v>5</v>
      </c>
      <c r="BL8" s="52">
        <v>5.8</v>
      </c>
      <c r="BM8" s="53">
        <v>6.2</v>
      </c>
      <c r="BN8" s="52">
        <v>43.9</v>
      </c>
      <c r="BO8" s="52">
        <v>45.5</v>
      </c>
      <c r="BP8" s="52">
        <v>46</v>
      </c>
      <c r="BQ8" s="52" t="s">
        <v>72</v>
      </c>
      <c r="BR8" s="84">
        <v>54.260089686098652</v>
      </c>
      <c r="BS8" s="84">
        <v>25.1</v>
      </c>
      <c r="BT8" s="84">
        <v>24</v>
      </c>
      <c r="BU8" s="84">
        <v>84.1</v>
      </c>
      <c r="BV8" s="84">
        <v>87.3</v>
      </c>
      <c r="BW8" s="9">
        <v>88.4</v>
      </c>
      <c r="BX8" s="84">
        <v>47.7</v>
      </c>
      <c r="BY8" s="9">
        <v>62.8</v>
      </c>
      <c r="BZ8" s="9">
        <v>62.8</v>
      </c>
    </row>
    <row r="9" spans="1:78" s="9" customFormat="1">
      <c r="A9" s="9" t="s">
        <v>147</v>
      </c>
      <c r="B9" s="9" t="s">
        <v>73</v>
      </c>
      <c r="C9" s="28" t="s">
        <v>18</v>
      </c>
      <c r="D9" s="9" t="s">
        <v>94</v>
      </c>
      <c r="E9" s="9" t="s">
        <v>80</v>
      </c>
      <c r="F9" s="51">
        <v>1421</v>
      </c>
      <c r="G9" s="51">
        <v>260</v>
      </c>
      <c r="H9" s="9">
        <v>1480</v>
      </c>
      <c r="I9" s="9">
        <v>405</v>
      </c>
      <c r="J9" s="9">
        <v>1438</v>
      </c>
      <c r="K9" s="9">
        <v>395</v>
      </c>
      <c r="L9" s="9">
        <v>1431</v>
      </c>
      <c r="M9" s="9">
        <v>357</v>
      </c>
      <c r="N9" s="52">
        <v>-1.8</v>
      </c>
      <c r="O9" s="52">
        <v>4.9000000000000004</v>
      </c>
      <c r="P9" s="52">
        <v>3.1</v>
      </c>
      <c r="Q9" s="52">
        <v>38</v>
      </c>
      <c r="R9" s="52">
        <v>34.4</v>
      </c>
      <c r="S9" s="52">
        <v>33</v>
      </c>
      <c r="T9" s="52">
        <v>23.5</v>
      </c>
      <c r="U9" s="52">
        <v>25.5</v>
      </c>
      <c r="V9" s="52">
        <v>26.1</v>
      </c>
      <c r="W9" s="68">
        <v>103.8</v>
      </c>
      <c r="X9" s="68">
        <v>106.9</v>
      </c>
      <c r="Y9" s="68">
        <v>108.2</v>
      </c>
      <c r="Z9" s="68">
        <v>8.6</v>
      </c>
      <c r="AA9" s="68">
        <v>9.1</v>
      </c>
      <c r="AB9" s="68">
        <v>8.9</v>
      </c>
      <c r="AC9" s="80">
        <v>1.4</v>
      </c>
      <c r="AD9" s="80">
        <v>1.63</v>
      </c>
      <c r="AE9" s="80">
        <v>1.59</v>
      </c>
      <c r="AF9" s="52">
        <v>31.3</v>
      </c>
      <c r="AG9" s="52">
        <v>27.5</v>
      </c>
      <c r="AH9" s="52">
        <v>28.1</v>
      </c>
      <c r="AI9" s="68">
        <v>93.1</v>
      </c>
      <c r="AJ9" s="68">
        <v>89.1</v>
      </c>
      <c r="AK9" s="68">
        <v>88.4</v>
      </c>
      <c r="AL9" s="52">
        <v>2.4</v>
      </c>
      <c r="AM9" s="52">
        <v>3</v>
      </c>
      <c r="AN9" s="51">
        <v>2.9</v>
      </c>
      <c r="AO9" s="52">
        <v>0.6</v>
      </c>
      <c r="AP9" s="68">
        <v>2.1</v>
      </c>
      <c r="AQ9" s="68">
        <v>3.4</v>
      </c>
      <c r="AR9" s="51">
        <v>72</v>
      </c>
      <c r="AS9" s="51">
        <v>-15</v>
      </c>
      <c r="AT9" s="51">
        <v>83</v>
      </c>
      <c r="AU9" s="51">
        <v>-12</v>
      </c>
      <c r="AV9" s="51">
        <v>89</v>
      </c>
      <c r="AW9" s="51">
        <v>-8</v>
      </c>
      <c r="AX9" s="52">
        <v>83.191489361702125</v>
      </c>
      <c r="AY9" s="51">
        <v>-13</v>
      </c>
      <c r="AZ9" s="52">
        <v>87.342657342657333</v>
      </c>
      <c r="BA9" s="52">
        <v>87.606623181133969</v>
      </c>
      <c r="BB9" s="52">
        <v>77.5</v>
      </c>
      <c r="BC9" s="52">
        <v>77.272727272727266</v>
      </c>
      <c r="BD9" s="52">
        <v>76.719576719576722</v>
      </c>
      <c r="BE9" s="52"/>
      <c r="BF9" s="52"/>
      <c r="BG9" s="53"/>
      <c r="BH9" s="52">
        <v>96</v>
      </c>
      <c r="BI9" s="52">
        <v>88.3</v>
      </c>
      <c r="BJ9" s="52">
        <v>85.9</v>
      </c>
      <c r="BK9" s="52">
        <v>6.4</v>
      </c>
      <c r="BL9" s="52">
        <v>5.8</v>
      </c>
      <c r="BM9" s="53">
        <v>6.2</v>
      </c>
      <c r="BN9" s="52">
        <v>46.4</v>
      </c>
      <c r="BO9" s="52">
        <v>45.5</v>
      </c>
      <c r="BP9" s="52">
        <v>46</v>
      </c>
      <c r="BQ9" s="52" t="s">
        <v>73</v>
      </c>
      <c r="BR9" s="84">
        <v>16.550764951321277</v>
      </c>
      <c r="BS9" s="84">
        <v>25.1</v>
      </c>
      <c r="BT9" s="84">
        <v>24</v>
      </c>
      <c r="BU9" s="84">
        <v>88.8</v>
      </c>
      <c r="BV9" s="84">
        <v>87.3</v>
      </c>
      <c r="BW9" s="9">
        <v>88.4</v>
      </c>
      <c r="BX9" s="84">
        <v>61.4</v>
      </c>
      <c r="BY9" s="9">
        <v>62.8</v>
      </c>
      <c r="BZ9" s="9">
        <v>62.8</v>
      </c>
    </row>
    <row r="10" spans="1:78" s="9" customFormat="1">
      <c r="A10" s="9" t="s">
        <v>217</v>
      </c>
      <c r="B10" s="9" t="s">
        <v>74</v>
      </c>
      <c r="C10" s="28" t="s">
        <v>18</v>
      </c>
      <c r="D10" s="9" t="s">
        <v>95</v>
      </c>
      <c r="E10" s="9" t="s">
        <v>81</v>
      </c>
      <c r="F10" s="51">
        <v>166</v>
      </c>
      <c r="G10" s="53" t="s">
        <v>12</v>
      </c>
      <c r="H10" s="9">
        <v>373</v>
      </c>
      <c r="I10" s="9">
        <v>46</v>
      </c>
      <c r="J10" s="9">
        <v>363</v>
      </c>
      <c r="K10" s="9">
        <v>54</v>
      </c>
      <c r="L10" s="9">
        <v>392</v>
      </c>
      <c r="M10" s="53">
        <v>51</v>
      </c>
      <c r="N10" s="52">
        <v>11.9</v>
      </c>
      <c r="O10" s="52">
        <v>4.9000000000000004</v>
      </c>
      <c r="P10" s="52">
        <v>3.1</v>
      </c>
      <c r="Q10" s="52">
        <v>34.5</v>
      </c>
      <c r="R10" s="52">
        <v>34.4</v>
      </c>
      <c r="S10" s="52">
        <v>33</v>
      </c>
      <c r="T10" s="52">
        <v>21.3</v>
      </c>
      <c r="U10" s="52">
        <v>25.5</v>
      </c>
      <c r="V10" s="52">
        <v>26.1</v>
      </c>
      <c r="W10" s="68">
        <v>105.1</v>
      </c>
      <c r="X10" s="68">
        <v>106.9</v>
      </c>
      <c r="Y10" s="68">
        <v>108.2</v>
      </c>
      <c r="Z10" s="68">
        <v>8.6999999999999993</v>
      </c>
      <c r="AA10" s="68">
        <v>9.1</v>
      </c>
      <c r="AB10" s="68">
        <v>8.9</v>
      </c>
      <c r="AC10" s="80">
        <v>2.0499999999999998</v>
      </c>
      <c r="AD10" s="80">
        <v>1.63</v>
      </c>
      <c r="AE10" s="80">
        <v>1.59</v>
      </c>
      <c r="AF10" s="52">
        <v>24.2</v>
      </c>
      <c r="AG10" s="52">
        <v>27.5</v>
      </c>
      <c r="AH10" s="52">
        <v>28.1</v>
      </c>
      <c r="AI10" s="68">
        <v>85.5</v>
      </c>
      <c r="AJ10" s="68">
        <v>89.1</v>
      </c>
      <c r="AK10" s="68">
        <v>88.4</v>
      </c>
      <c r="AL10" s="52">
        <v>5.0999999999999996</v>
      </c>
      <c r="AM10" s="52">
        <v>3</v>
      </c>
      <c r="AN10" s="51">
        <v>2.9</v>
      </c>
      <c r="AO10" s="52">
        <v>0</v>
      </c>
      <c r="AP10" s="68">
        <v>2.1</v>
      </c>
      <c r="AQ10" s="68">
        <v>3.4</v>
      </c>
      <c r="AR10" s="51">
        <v>62</v>
      </c>
      <c r="AS10" s="51">
        <v>-26</v>
      </c>
      <c r="AT10" s="51">
        <v>86</v>
      </c>
      <c r="AU10" s="51">
        <v>-9</v>
      </c>
      <c r="AV10" s="51">
        <v>92</v>
      </c>
      <c r="AW10" s="51">
        <v>-5</v>
      </c>
      <c r="AX10" s="52">
        <v>87</v>
      </c>
      <c r="AY10" s="51">
        <v>-9</v>
      </c>
      <c r="AZ10" s="52">
        <v>87.342657342657333</v>
      </c>
      <c r="BA10" s="52">
        <v>87.606623181133969</v>
      </c>
      <c r="BB10" s="52">
        <v>80.769230769230774</v>
      </c>
      <c r="BC10" s="52">
        <v>77.272727272727266</v>
      </c>
      <c r="BD10" s="52">
        <v>76.719576719576722</v>
      </c>
      <c r="BE10" s="52"/>
      <c r="BF10" s="52"/>
      <c r="BG10" s="53"/>
      <c r="BH10" s="52">
        <v>85</v>
      </c>
      <c r="BI10" s="52">
        <v>88.3</v>
      </c>
      <c r="BJ10" s="52">
        <v>85.9</v>
      </c>
      <c r="BK10" s="52">
        <v>2.6</v>
      </c>
      <c r="BL10" s="52">
        <v>5.8</v>
      </c>
      <c r="BM10" s="53">
        <v>6.2</v>
      </c>
      <c r="BN10" s="52">
        <v>42.2</v>
      </c>
      <c r="BO10" s="52">
        <v>45.5</v>
      </c>
      <c r="BP10" s="52">
        <v>46</v>
      </c>
      <c r="BQ10" s="52" t="s">
        <v>74</v>
      </c>
      <c r="BR10" s="84">
        <v>29.716981132075471</v>
      </c>
      <c r="BS10" s="84">
        <v>25.1</v>
      </c>
      <c r="BT10" s="84">
        <v>24</v>
      </c>
      <c r="BU10" s="84">
        <v>81</v>
      </c>
      <c r="BV10" s="84">
        <v>87.3</v>
      </c>
      <c r="BW10" s="9">
        <v>88.4</v>
      </c>
      <c r="BX10" s="84">
        <v>45.2</v>
      </c>
      <c r="BY10" s="9">
        <v>62.8</v>
      </c>
      <c r="BZ10" s="9">
        <v>62.8</v>
      </c>
    </row>
    <row r="11" spans="1:78" s="9" customFormat="1">
      <c r="A11" s="9" t="s">
        <v>148</v>
      </c>
      <c r="B11" s="9" t="s">
        <v>75</v>
      </c>
      <c r="C11" s="28" t="s">
        <v>18</v>
      </c>
      <c r="D11" s="9" t="s">
        <v>87</v>
      </c>
      <c r="E11" s="9" t="s">
        <v>81</v>
      </c>
      <c r="F11" s="53" t="s">
        <v>12</v>
      </c>
      <c r="G11" s="53" t="s">
        <v>12</v>
      </c>
      <c r="H11" s="9">
        <v>505</v>
      </c>
      <c r="I11" s="9">
        <v>110</v>
      </c>
      <c r="J11" s="9">
        <v>510</v>
      </c>
      <c r="K11" s="9">
        <v>112</v>
      </c>
      <c r="L11" s="9">
        <v>487</v>
      </c>
      <c r="M11" s="53">
        <v>110</v>
      </c>
      <c r="N11" s="52">
        <v>-1.7</v>
      </c>
      <c r="O11" s="52">
        <v>4.9000000000000004</v>
      </c>
      <c r="P11" s="52">
        <v>3.1</v>
      </c>
      <c r="Q11" s="52">
        <v>37.1</v>
      </c>
      <c r="R11" s="52">
        <v>34.4</v>
      </c>
      <c r="S11" s="52">
        <v>33</v>
      </c>
      <c r="T11" s="52">
        <v>20.100000000000001</v>
      </c>
      <c r="U11" s="52">
        <v>25.5</v>
      </c>
      <c r="V11" s="52">
        <v>26.1</v>
      </c>
      <c r="W11" s="68">
        <v>102.9</v>
      </c>
      <c r="X11" s="68">
        <v>106.9</v>
      </c>
      <c r="Y11" s="68">
        <v>108.2</v>
      </c>
      <c r="Z11" s="68">
        <v>6.7</v>
      </c>
      <c r="AA11" s="68">
        <v>9.1</v>
      </c>
      <c r="AB11" s="68">
        <v>8.9</v>
      </c>
      <c r="AC11" s="80">
        <v>1.61</v>
      </c>
      <c r="AD11" s="80">
        <v>1.63</v>
      </c>
      <c r="AE11" s="80">
        <v>1.59</v>
      </c>
      <c r="AF11" s="52">
        <v>26.8</v>
      </c>
      <c r="AG11" s="52">
        <v>27.5</v>
      </c>
      <c r="AH11" s="52">
        <v>28.1</v>
      </c>
      <c r="AI11" s="68">
        <v>86.1</v>
      </c>
      <c r="AJ11" s="68">
        <v>89.1</v>
      </c>
      <c r="AK11" s="68">
        <v>88.4</v>
      </c>
      <c r="AL11" s="52">
        <v>5.6</v>
      </c>
      <c r="AM11" s="52">
        <v>3</v>
      </c>
      <c r="AN11" s="51">
        <v>2.9</v>
      </c>
      <c r="AO11" s="52">
        <v>1.7</v>
      </c>
      <c r="AP11" s="68">
        <v>2.1</v>
      </c>
      <c r="AQ11" s="68">
        <v>3.4</v>
      </c>
      <c r="AR11" s="51">
        <v>67</v>
      </c>
      <c r="AS11" s="51">
        <v>-22</v>
      </c>
      <c r="AT11" s="51">
        <v>84</v>
      </c>
      <c r="AU11" s="51">
        <v>-11</v>
      </c>
      <c r="AV11" s="51">
        <v>91</v>
      </c>
      <c r="AW11" s="51">
        <v>-7</v>
      </c>
      <c r="AX11" s="52">
        <v>90.123456790123456</v>
      </c>
      <c r="AY11" s="51">
        <v>-6</v>
      </c>
      <c r="AZ11" s="52">
        <v>87.342657342657333</v>
      </c>
      <c r="BA11" s="52">
        <v>87.606623181133969</v>
      </c>
      <c r="BB11" s="52">
        <v>80</v>
      </c>
      <c r="BC11" s="52">
        <v>77.272727272727266</v>
      </c>
      <c r="BD11" s="52">
        <v>76.719576719576722</v>
      </c>
      <c r="BE11" s="52"/>
      <c r="BF11" s="52"/>
      <c r="BG11" s="53"/>
      <c r="BH11" s="52">
        <v>87.2</v>
      </c>
      <c r="BI11" s="52">
        <v>88.3</v>
      </c>
      <c r="BJ11" s="52">
        <v>85.9</v>
      </c>
      <c r="BK11" s="52">
        <v>2.9</v>
      </c>
      <c r="BL11" s="52">
        <v>5.8</v>
      </c>
      <c r="BM11" s="53">
        <v>6.2</v>
      </c>
      <c r="BN11" s="52">
        <v>43.3</v>
      </c>
      <c r="BO11" s="52">
        <v>45.5</v>
      </c>
      <c r="BP11" s="52">
        <v>46</v>
      </c>
      <c r="BQ11" s="52" t="s">
        <v>75</v>
      </c>
      <c r="BR11" s="84">
        <v>22.549019607843139</v>
      </c>
      <c r="BS11" s="84">
        <v>25.1</v>
      </c>
      <c r="BT11" s="84">
        <v>24</v>
      </c>
      <c r="BU11" s="84">
        <v>91</v>
      </c>
      <c r="BV11" s="84">
        <v>87.3</v>
      </c>
      <c r="BW11" s="9">
        <v>88.4</v>
      </c>
      <c r="BX11" s="84">
        <v>63.2</v>
      </c>
      <c r="BY11" s="9">
        <v>62.8</v>
      </c>
      <c r="BZ11" s="9">
        <v>62.8</v>
      </c>
    </row>
    <row r="12" spans="1:78" s="9" customFormat="1">
      <c r="O12" s="51"/>
      <c r="P12" s="51"/>
      <c r="Q12" s="51"/>
      <c r="R12" s="51"/>
      <c r="S12" s="51"/>
      <c r="T12" s="51"/>
      <c r="U12" s="51"/>
      <c r="V12" s="51"/>
      <c r="W12" s="51"/>
      <c r="X12" s="68"/>
      <c r="Y12" s="51"/>
      <c r="Z12" s="51"/>
      <c r="AA12" s="51"/>
      <c r="AB12" s="51"/>
      <c r="AC12" s="51"/>
      <c r="AD12" s="51"/>
      <c r="AE12" s="51"/>
      <c r="AF12" s="51"/>
      <c r="AG12" s="51"/>
      <c r="AH12" s="51"/>
      <c r="AI12" s="51"/>
      <c r="AJ12" s="51"/>
      <c r="AK12" s="51"/>
      <c r="AL12" s="51"/>
      <c r="AM12" s="51"/>
      <c r="AN12" s="51"/>
      <c r="AO12" s="51"/>
      <c r="AP12" s="51"/>
      <c r="AQ12" s="51"/>
      <c r="AR12" s="51"/>
      <c r="AS12" s="51"/>
      <c r="AT12" s="51"/>
      <c r="AU12" s="51"/>
      <c r="AV12" s="51"/>
      <c r="AW12" s="51"/>
      <c r="AX12" s="51"/>
      <c r="AY12" s="51"/>
      <c r="AZ12" s="51"/>
      <c r="BA12" s="51"/>
      <c r="BB12" s="51"/>
      <c r="BC12" s="51"/>
      <c r="BD12" s="51"/>
      <c r="BE12" s="51"/>
      <c r="BF12" s="51"/>
      <c r="BG12" s="51"/>
      <c r="BH12" s="51"/>
      <c r="BI12" s="51"/>
      <c r="BJ12" s="51"/>
      <c r="BK12" s="51"/>
      <c r="BL12" s="51"/>
      <c r="BM12" s="51"/>
      <c r="BN12" s="51"/>
      <c r="BO12" s="51"/>
      <c r="BP12" s="51"/>
      <c r="BQ12" s="51"/>
    </row>
    <row r="13" spans="1:78" s="9" customFormat="1"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  <c r="AA13" s="51"/>
      <c r="AB13" s="51"/>
      <c r="AC13" s="51"/>
      <c r="AD13" s="51"/>
      <c r="AE13" s="51"/>
      <c r="AF13" s="51"/>
      <c r="AG13" s="51"/>
      <c r="AH13" s="51"/>
      <c r="AI13" s="51"/>
      <c r="AJ13" s="51"/>
      <c r="AK13" s="51"/>
      <c r="AL13" s="51"/>
      <c r="AM13" s="51"/>
      <c r="AN13" s="51"/>
      <c r="AO13" s="51"/>
      <c r="AP13" s="51"/>
      <c r="AQ13" s="51"/>
      <c r="AR13" s="51"/>
      <c r="AS13" s="51"/>
      <c r="AT13" s="51"/>
      <c r="AU13" s="51"/>
      <c r="AV13" s="51"/>
      <c r="AW13" s="51"/>
      <c r="AX13" s="51"/>
      <c r="AY13" s="51"/>
      <c r="AZ13" s="51"/>
      <c r="BA13" s="51"/>
      <c r="BB13" s="51"/>
      <c r="BC13" s="51"/>
      <c r="BD13" s="51"/>
      <c r="BE13" s="51"/>
      <c r="BF13" s="51"/>
      <c r="BG13" s="51"/>
      <c r="BH13" s="51"/>
      <c r="BI13" s="51"/>
      <c r="BJ13" s="51"/>
      <c r="BK13" s="51"/>
      <c r="BL13" s="51"/>
      <c r="BM13" s="51"/>
      <c r="BN13" s="51"/>
      <c r="BO13" s="51"/>
      <c r="BP13" s="51"/>
      <c r="BQ13" s="51"/>
    </row>
    <row r="14" spans="1:78" s="9" customFormat="1">
      <c r="A14" s="9" t="s">
        <v>96</v>
      </c>
      <c r="B14" s="9" t="s">
        <v>159</v>
      </c>
      <c r="C14" s="9" t="s">
        <v>77</v>
      </c>
      <c r="D14" s="9" t="s">
        <v>79</v>
      </c>
      <c r="E14" s="9" t="s">
        <v>78</v>
      </c>
      <c r="F14" s="9" t="s">
        <v>150</v>
      </c>
      <c r="G14" s="9" t="s">
        <v>151</v>
      </c>
      <c r="H14" s="9" t="s">
        <v>215</v>
      </c>
      <c r="I14" s="9" t="s">
        <v>216</v>
      </c>
      <c r="J14" s="9" t="s">
        <v>222</v>
      </c>
      <c r="K14" s="9" t="s">
        <v>223</v>
      </c>
      <c r="L14" s="9" t="s">
        <v>231</v>
      </c>
      <c r="M14" s="9" t="s">
        <v>232</v>
      </c>
      <c r="N14" s="9" t="s">
        <v>210</v>
      </c>
      <c r="O14" s="51" t="s">
        <v>211</v>
      </c>
      <c r="P14" s="51" t="s">
        <v>212</v>
      </c>
      <c r="Q14" s="51" t="s">
        <v>97</v>
      </c>
      <c r="R14" s="51" t="s">
        <v>98</v>
      </c>
      <c r="S14" s="51" t="s">
        <v>99</v>
      </c>
      <c r="T14" s="51" t="s">
        <v>100</v>
      </c>
      <c r="U14" s="51" t="s">
        <v>101</v>
      </c>
      <c r="V14" s="51" t="s">
        <v>102</v>
      </c>
      <c r="W14" s="51" t="s">
        <v>103</v>
      </c>
      <c r="X14" s="51" t="s">
        <v>104</v>
      </c>
      <c r="Y14" s="51" t="s">
        <v>105</v>
      </c>
      <c r="Z14" s="51" t="s">
        <v>106</v>
      </c>
      <c r="AA14" s="51" t="s">
        <v>107</v>
      </c>
      <c r="AB14" s="51" t="s">
        <v>108</v>
      </c>
      <c r="AC14" s="51" t="s">
        <v>109</v>
      </c>
      <c r="AD14" s="51" t="s">
        <v>110</v>
      </c>
      <c r="AE14" s="51" t="s">
        <v>111</v>
      </c>
      <c r="AF14" s="51" t="s">
        <v>112</v>
      </c>
      <c r="AG14" s="51" t="s">
        <v>113</v>
      </c>
      <c r="AH14" s="51" t="s">
        <v>114</v>
      </c>
      <c r="AI14" s="51" t="s">
        <v>169</v>
      </c>
      <c r="AJ14" s="51" t="s">
        <v>170</v>
      </c>
      <c r="AK14" s="51" t="s">
        <v>171</v>
      </c>
      <c r="AL14" s="51" t="s">
        <v>204</v>
      </c>
      <c r="AM14" s="51" t="s">
        <v>205</v>
      </c>
      <c r="AN14" s="51" t="s">
        <v>206</v>
      </c>
      <c r="AO14" s="51" t="s">
        <v>152</v>
      </c>
      <c r="AP14" s="51" t="s">
        <v>153</v>
      </c>
      <c r="AQ14" s="51" t="s">
        <v>154</v>
      </c>
      <c r="AR14" s="51" t="s">
        <v>155</v>
      </c>
      <c r="AS14" s="51" t="s">
        <v>163</v>
      </c>
      <c r="AT14" s="51" t="s">
        <v>156</v>
      </c>
      <c r="AU14" s="51" t="s">
        <v>164</v>
      </c>
      <c r="AV14" s="51" t="s">
        <v>157</v>
      </c>
      <c r="AW14" s="51" t="s">
        <v>165</v>
      </c>
      <c r="AX14" s="51" t="s">
        <v>168</v>
      </c>
      <c r="AY14" s="51" t="s">
        <v>167</v>
      </c>
      <c r="AZ14" s="51" t="s">
        <v>183</v>
      </c>
      <c r="BA14" s="51" t="s">
        <v>184</v>
      </c>
      <c r="BB14" s="51" t="s">
        <v>176</v>
      </c>
      <c r="BC14" s="51" t="s">
        <v>177</v>
      </c>
      <c r="BD14" s="51" t="s">
        <v>178</v>
      </c>
      <c r="BE14" s="51" t="s">
        <v>115</v>
      </c>
      <c r="BF14" s="51" t="s">
        <v>116</v>
      </c>
      <c r="BG14" s="51" t="s">
        <v>117</v>
      </c>
      <c r="BH14" s="51" t="s">
        <v>118</v>
      </c>
      <c r="BI14" s="51" t="s">
        <v>119</v>
      </c>
      <c r="BJ14" s="51" t="s">
        <v>120</v>
      </c>
      <c r="BK14" s="51" t="s">
        <v>121</v>
      </c>
      <c r="BL14" s="51" t="s">
        <v>122</v>
      </c>
      <c r="BM14" s="51" t="s">
        <v>123</v>
      </c>
      <c r="BN14" s="51" t="s">
        <v>124</v>
      </c>
      <c r="BO14" s="51" t="s">
        <v>125</v>
      </c>
      <c r="BP14" s="51" t="s">
        <v>126</v>
      </c>
      <c r="BQ14" s="51"/>
      <c r="BR14" s="9" t="s">
        <v>224</v>
      </c>
      <c r="BS14" s="9" t="s">
        <v>225</v>
      </c>
      <c r="BT14" s="9" t="s">
        <v>226</v>
      </c>
      <c r="BU14" s="9" t="s">
        <v>234</v>
      </c>
      <c r="BV14" s="9" t="s">
        <v>235</v>
      </c>
      <c r="BW14" s="9" t="s">
        <v>236</v>
      </c>
      <c r="BX14" s="9" t="s">
        <v>237</v>
      </c>
      <c r="BY14" s="9" t="s">
        <v>238</v>
      </c>
      <c r="BZ14" s="9" t="s">
        <v>239</v>
      </c>
    </row>
    <row r="15" spans="1:78" s="9" customFormat="1">
      <c r="A15" s="9" t="s">
        <v>131</v>
      </c>
      <c r="B15" s="9" t="s">
        <v>58</v>
      </c>
      <c r="C15" s="28" t="s">
        <v>18</v>
      </c>
      <c r="D15" s="9" t="s">
        <v>29</v>
      </c>
      <c r="E15" s="9" t="s">
        <v>82</v>
      </c>
      <c r="F15" s="9">
        <v>1185</v>
      </c>
      <c r="G15" s="53" t="s">
        <v>12</v>
      </c>
      <c r="H15" s="9">
        <v>908</v>
      </c>
      <c r="I15" s="9">
        <v>117</v>
      </c>
      <c r="J15" s="9">
        <v>883</v>
      </c>
      <c r="K15" s="9">
        <v>113</v>
      </c>
      <c r="L15" s="9">
        <v>916</v>
      </c>
      <c r="M15" s="9">
        <v>109</v>
      </c>
      <c r="N15" s="52">
        <v>-2.1</v>
      </c>
      <c r="O15" s="68">
        <v>4.9000000000000004</v>
      </c>
      <c r="P15" s="52">
        <v>5.3</v>
      </c>
      <c r="Q15" s="68">
        <v>58.7</v>
      </c>
      <c r="R15" s="52">
        <v>62.5</v>
      </c>
      <c r="S15" s="51">
        <v>59.8</v>
      </c>
      <c r="T15" s="68">
        <v>5.2</v>
      </c>
      <c r="U15" s="52">
        <v>5.7</v>
      </c>
      <c r="V15" s="51">
        <v>5.9</v>
      </c>
      <c r="W15" s="68">
        <v>80.900000000000006</v>
      </c>
      <c r="X15" s="68">
        <v>79.599999999999994</v>
      </c>
      <c r="Y15" s="52">
        <v>81.3</v>
      </c>
      <c r="Z15" s="68">
        <v>18.7</v>
      </c>
      <c r="AA15" s="68">
        <v>20.5</v>
      </c>
      <c r="AB15" s="68">
        <v>23.2</v>
      </c>
      <c r="AC15" s="80">
        <v>2.25</v>
      </c>
      <c r="AD15" s="80">
        <v>2.4300000000000002</v>
      </c>
      <c r="AE15" s="80">
        <v>2.37</v>
      </c>
      <c r="AF15" s="52">
        <v>20.7</v>
      </c>
      <c r="AG15" s="52">
        <v>19.399999999999999</v>
      </c>
      <c r="AH15" s="52">
        <v>19.399999999999999</v>
      </c>
      <c r="AI15" s="68">
        <v>86.9</v>
      </c>
      <c r="AJ15" s="68">
        <v>89.2</v>
      </c>
      <c r="AK15" s="68">
        <v>87.8</v>
      </c>
      <c r="AL15" s="68">
        <v>1.4</v>
      </c>
      <c r="AM15" s="68">
        <v>1.3</v>
      </c>
      <c r="AN15" s="68">
        <v>1.5</v>
      </c>
      <c r="AO15" s="68">
        <v>2.2999999999999998</v>
      </c>
      <c r="AP15" s="68">
        <v>2.2000000000000002</v>
      </c>
      <c r="AQ15" s="68">
        <v>2.6</v>
      </c>
      <c r="AR15" s="51">
        <v>55</v>
      </c>
      <c r="AS15" s="51">
        <v>-15</v>
      </c>
      <c r="AT15" s="51">
        <v>65</v>
      </c>
      <c r="AU15" s="51">
        <v>-14</v>
      </c>
      <c r="AV15" s="51">
        <v>74</v>
      </c>
      <c r="AW15" s="51">
        <v>-13</v>
      </c>
      <c r="AX15" s="52">
        <v>71.568627450980387</v>
      </c>
      <c r="AY15" s="51">
        <v>-17</v>
      </c>
      <c r="AZ15" s="52">
        <v>70.554765291607396</v>
      </c>
      <c r="BA15" s="52">
        <v>70.798479087452478</v>
      </c>
      <c r="BB15" s="52">
        <v>65.116279069767444</v>
      </c>
      <c r="BC15" s="52">
        <v>63.636363636363633</v>
      </c>
      <c r="BD15" s="52">
        <v>67.333333333333329</v>
      </c>
      <c r="BE15" s="52"/>
      <c r="BF15" s="52"/>
      <c r="BG15" s="53"/>
      <c r="BH15" s="52">
        <v>89.7</v>
      </c>
      <c r="BI15" s="52">
        <v>84.8</v>
      </c>
      <c r="BJ15" s="52">
        <v>78.2</v>
      </c>
      <c r="BK15" s="52">
        <v>8.3000000000000007</v>
      </c>
      <c r="BL15" s="52">
        <v>5.8</v>
      </c>
      <c r="BM15" s="53">
        <v>6.3</v>
      </c>
      <c r="BN15" s="52">
        <v>47.7</v>
      </c>
      <c r="BO15" s="52">
        <v>45.2</v>
      </c>
      <c r="BP15" s="52">
        <v>45.9</v>
      </c>
      <c r="BQ15" s="52" t="s">
        <v>58</v>
      </c>
      <c r="BR15" s="84">
        <v>49.835706462212485</v>
      </c>
      <c r="BS15" s="84">
        <v>53.1</v>
      </c>
      <c r="BT15" s="9">
        <v>55.8</v>
      </c>
      <c r="BU15" s="84">
        <v>27.7</v>
      </c>
      <c r="BV15" s="9">
        <v>34.5</v>
      </c>
      <c r="BW15" s="9">
        <v>39.6</v>
      </c>
      <c r="BX15" s="84">
        <v>10.4</v>
      </c>
      <c r="BY15" s="9">
        <v>16.100000000000001</v>
      </c>
      <c r="BZ15" s="9">
        <v>14.5</v>
      </c>
    </row>
    <row r="16" spans="1:78" s="9" customFormat="1">
      <c r="A16" s="9" t="s">
        <v>133</v>
      </c>
      <c r="B16" s="9" t="s">
        <v>59</v>
      </c>
      <c r="C16" s="9" t="s">
        <v>76</v>
      </c>
      <c r="D16" s="9" t="s">
        <v>29</v>
      </c>
      <c r="E16" s="9" t="s">
        <v>84</v>
      </c>
      <c r="F16" s="9">
        <v>459</v>
      </c>
      <c r="G16" s="53" t="s">
        <v>12</v>
      </c>
      <c r="H16" s="9">
        <v>376</v>
      </c>
      <c r="I16" s="9">
        <v>56</v>
      </c>
      <c r="J16" s="9">
        <v>346</v>
      </c>
      <c r="K16" s="9">
        <v>88</v>
      </c>
      <c r="L16" s="9">
        <v>352</v>
      </c>
      <c r="M16" s="9">
        <v>94</v>
      </c>
      <c r="N16" s="52">
        <v>-1.7</v>
      </c>
      <c r="O16" s="68">
        <v>5.7</v>
      </c>
      <c r="P16" s="52">
        <v>5.3</v>
      </c>
      <c r="Q16" s="68">
        <v>46.5</v>
      </c>
      <c r="R16" s="52">
        <v>57.1</v>
      </c>
      <c r="S16" s="51">
        <v>59.8</v>
      </c>
      <c r="T16" s="68">
        <v>6.9</v>
      </c>
      <c r="U16" s="52">
        <v>6.2</v>
      </c>
      <c r="V16" s="51">
        <v>5.9</v>
      </c>
      <c r="W16" s="68">
        <v>90.2</v>
      </c>
      <c r="X16" s="68">
        <v>83.2</v>
      </c>
      <c r="Y16" s="52">
        <v>81.3</v>
      </c>
      <c r="Z16" s="68">
        <v>22.4</v>
      </c>
      <c r="AA16" s="68">
        <v>26.6</v>
      </c>
      <c r="AB16" s="68">
        <v>23.2</v>
      </c>
      <c r="AC16" s="80">
        <v>1.96</v>
      </c>
      <c r="AD16" s="80">
        <v>2.31</v>
      </c>
      <c r="AE16" s="80">
        <v>2.37</v>
      </c>
      <c r="AF16" s="52">
        <v>23.1</v>
      </c>
      <c r="AG16" s="52">
        <v>19.5</v>
      </c>
      <c r="AH16" s="52">
        <v>19.399999999999999</v>
      </c>
      <c r="AI16" s="68">
        <v>94.9</v>
      </c>
      <c r="AJ16" s="68">
        <v>86.2</v>
      </c>
      <c r="AK16" s="68">
        <v>87.8</v>
      </c>
      <c r="AL16" s="68">
        <v>0</v>
      </c>
      <c r="AM16" s="68">
        <v>1.7</v>
      </c>
      <c r="AN16" s="68">
        <v>1.5</v>
      </c>
      <c r="AO16" s="68">
        <v>1.7</v>
      </c>
      <c r="AP16" s="68">
        <v>3</v>
      </c>
      <c r="AQ16" s="68">
        <v>2.6</v>
      </c>
      <c r="AR16" s="51">
        <v>60</v>
      </c>
      <c r="AS16" s="51">
        <v>-8</v>
      </c>
      <c r="AT16" s="51">
        <v>69</v>
      </c>
      <c r="AU16" s="51">
        <v>-8</v>
      </c>
      <c r="AV16" s="51">
        <v>75</v>
      </c>
      <c r="AW16" s="51">
        <v>-11</v>
      </c>
      <c r="AX16" s="52">
        <v>72.477064220183479</v>
      </c>
      <c r="AY16" s="51">
        <v>-15</v>
      </c>
      <c r="AZ16" s="52">
        <v>71.078431372549019</v>
      </c>
      <c r="BA16" s="52">
        <v>70.798479087452478</v>
      </c>
      <c r="BB16" s="52">
        <v>80.769230769230774</v>
      </c>
      <c r="BC16" s="52">
        <v>70.238095238095227</v>
      </c>
      <c r="BD16" s="52">
        <v>67.333333333333329</v>
      </c>
      <c r="BE16" s="85"/>
      <c r="BF16" s="85"/>
      <c r="BG16" s="53"/>
      <c r="BH16" s="52">
        <v>57.5</v>
      </c>
      <c r="BI16" s="52">
        <v>67</v>
      </c>
      <c r="BJ16" s="52">
        <v>78.2</v>
      </c>
      <c r="BK16" s="52">
        <v>5.3</v>
      </c>
      <c r="BL16" s="52">
        <v>7.2</v>
      </c>
      <c r="BM16" s="53">
        <v>6.3</v>
      </c>
      <c r="BN16" s="52">
        <v>44.2</v>
      </c>
      <c r="BO16" s="52">
        <v>47</v>
      </c>
      <c r="BP16" s="52">
        <v>45.9</v>
      </c>
      <c r="BQ16" s="52" t="s">
        <v>59</v>
      </c>
      <c r="BR16" s="84">
        <v>65.317919075144502</v>
      </c>
      <c r="BS16" s="84">
        <v>59</v>
      </c>
      <c r="BT16" s="9">
        <v>55.8</v>
      </c>
      <c r="BU16" s="84">
        <v>62.6</v>
      </c>
      <c r="BV16" s="9">
        <v>46.4</v>
      </c>
      <c r="BW16" s="9">
        <v>39.6</v>
      </c>
      <c r="BX16" s="84">
        <v>10.6</v>
      </c>
      <c r="BY16" s="9">
        <v>12.1</v>
      </c>
      <c r="BZ16" s="9">
        <v>14.5</v>
      </c>
    </row>
    <row r="17" spans="1:78" s="9" customFormat="1">
      <c r="A17" s="9" t="s">
        <v>134</v>
      </c>
      <c r="B17" s="9" t="s">
        <v>56</v>
      </c>
      <c r="C17" s="9" t="s">
        <v>76</v>
      </c>
      <c r="D17" s="9" t="s">
        <v>88</v>
      </c>
      <c r="E17" s="9" t="s">
        <v>84</v>
      </c>
      <c r="F17" s="9">
        <v>637</v>
      </c>
      <c r="G17" s="53" t="s">
        <v>12</v>
      </c>
      <c r="H17" s="9">
        <v>571</v>
      </c>
      <c r="I17" s="9">
        <v>36</v>
      </c>
      <c r="J17" s="9">
        <v>520</v>
      </c>
      <c r="K17" s="9">
        <v>40</v>
      </c>
      <c r="L17" s="9">
        <v>446</v>
      </c>
      <c r="M17" s="9">
        <v>25</v>
      </c>
      <c r="N17" s="52">
        <v>0</v>
      </c>
      <c r="O17" s="68">
        <v>5.7</v>
      </c>
      <c r="P17" s="52">
        <v>5.3</v>
      </c>
      <c r="Q17" s="68">
        <v>61.4</v>
      </c>
      <c r="R17" s="52">
        <v>57.1</v>
      </c>
      <c r="S17" s="51">
        <v>59.8</v>
      </c>
      <c r="T17" s="68">
        <v>5.2</v>
      </c>
      <c r="U17" s="52">
        <v>6.2</v>
      </c>
      <c r="V17" s="51">
        <v>5.9</v>
      </c>
      <c r="W17" s="68">
        <v>82.3</v>
      </c>
      <c r="X17" s="68">
        <v>83.2</v>
      </c>
      <c r="Y17" s="52">
        <v>81.3</v>
      </c>
      <c r="Z17" s="68">
        <v>34</v>
      </c>
      <c r="AA17" s="68">
        <v>26.6</v>
      </c>
      <c r="AB17" s="68">
        <v>23.2</v>
      </c>
      <c r="AC17" s="80">
        <v>2.66</v>
      </c>
      <c r="AD17" s="80">
        <v>2.31</v>
      </c>
      <c r="AE17" s="80">
        <v>2.37</v>
      </c>
      <c r="AF17" s="52">
        <v>18</v>
      </c>
      <c r="AG17" s="52">
        <v>19.5</v>
      </c>
      <c r="AH17" s="52">
        <v>19.399999999999999</v>
      </c>
      <c r="AI17" s="68">
        <v>78.7</v>
      </c>
      <c r="AJ17" s="68">
        <v>86.2</v>
      </c>
      <c r="AK17" s="68">
        <v>87.8</v>
      </c>
      <c r="AL17" s="68">
        <v>4.7</v>
      </c>
      <c r="AM17" s="68">
        <v>1.7</v>
      </c>
      <c r="AN17" s="68">
        <v>1.5</v>
      </c>
      <c r="AO17" s="68">
        <v>0.8</v>
      </c>
      <c r="AP17" s="68">
        <v>3</v>
      </c>
      <c r="AQ17" s="68">
        <v>2.6</v>
      </c>
      <c r="AR17" s="51">
        <v>37</v>
      </c>
      <c r="AS17" s="51">
        <v>-27</v>
      </c>
      <c r="AT17" s="51">
        <v>60</v>
      </c>
      <c r="AU17" s="51">
        <v>-16</v>
      </c>
      <c r="AV17" s="51">
        <v>78</v>
      </c>
      <c r="AW17" s="51">
        <v>-7</v>
      </c>
      <c r="AX17" s="52">
        <v>83.838383838383834</v>
      </c>
      <c r="AY17" s="51">
        <v>-2</v>
      </c>
      <c r="AZ17" s="52">
        <v>71.078431372549019</v>
      </c>
      <c r="BA17" s="52">
        <v>70.798479087452478</v>
      </c>
      <c r="BB17" s="52">
        <v>83.333333333333343</v>
      </c>
      <c r="BC17" s="52">
        <v>70.238095238095227</v>
      </c>
      <c r="BD17" s="52">
        <v>67.333333333333329</v>
      </c>
      <c r="BE17" s="85"/>
      <c r="BF17" s="85"/>
      <c r="BG17" s="53"/>
      <c r="BH17" s="52">
        <v>64.7</v>
      </c>
      <c r="BI17" s="52">
        <v>67</v>
      </c>
      <c r="BJ17" s="52">
        <v>78.2</v>
      </c>
      <c r="BK17" s="52">
        <v>7.8</v>
      </c>
      <c r="BL17" s="52">
        <v>7.2</v>
      </c>
      <c r="BM17" s="53">
        <v>6.3</v>
      </c>
      <c r="BN17" s="52">
        <v>48.3</v>
      </c>
      <c r="BO17" s="52">
        <v>47</v>
      </c>
      <c r="BP17" s="52">
        <v>45.9</v>
      </c>
      <c r="BQ17" s="52" t="s">
        <v>56</v>
      </c>
      <c r="BR17" s="84">
        <v>51.717171717171716</v>
      </c>
      <c r="BS17" s="84">
        <v>59</v>
      </c>
      <c r="BT17" s="9">
        <v>55.8</v>
      </c>
      <c r="BU17" s="84">
        <v>43.9</v>
      </c>
      <c r="BV17" s="9">
        <v>46.4</v>
      </c>
      <c r="BW17" s="9">
        <v>39.6</v>
      </c>
      <c r="BX17" s="84">
        <v>10.8</v>
      </c>
      <c r="BY17" s="9">
        <v>12.1</v>
      </c>
      <c r="BZ17" s="9">
        <v>14.5</v>
      </c>
    </row>
    <row r="18" spans="1:78" s="9" customFormat="1">
      <c r="A18" s="9" t="s">
        <v>135</v>
      </c>
      <c r="B18" s="9" t="s">
        <v>57</v>
      </c>
      <c r="C18" s="9" t="s">
        <v>76</v>
      </c>
      <c r="D18" s="9" t="s">
        <v>88</v>
      </c>
      <c r="E18" s="9" t="s">
        <v>84</v>
      </c>
      <c r="F18" s="9">
        <v>596</v>
      </c>
      <c r="G18" s="53" t="s">
        <v>12</v>
      </c>
      <c r="H18" s="9">
        <v>516</v>
      </c>
      <c r="I18" s="9">
        <v>60</v>
      </c>
      <c r="J18" s="9">
        <v>495</v>
      </c>
      <c r="K18" s="9">
        <v>59</v>
      </c>
      <c r="L18" s="9">
        <v>480</v>
      </c>
      <c r="M18" s="9">
        <v>59</v>
      </c>
      <c r="N18" s="52">
        <v>0</v>
      </c>
      <c r="O18" s="68">
        <v>5.7</v>
      </c>
      <c r="P18" s="52">
        <v>5.3</v>
      </c>
      <c r="Q18" s="68">
        <v>57.9</v>
      </c>
      <c r="R18" s="52">
        <v>57.1</v>
      </c>
      <c r="S18" s="51">
        <v>59.8</v>
      </c>
      <c r="T18" s="68">
        <v>6.7</v>
      </c>
      <c r="U18" s="52">
        <v>6.2</v>
      </c>
      <c r="V18" s="51">
        <v>5.9</v>
      </c>
      <c r="W18" s="68">
        <v>82.2</v>
      </c>
      <c r="X18" s="68">
        <v>83.2</v>
      </c>
      <c r="Y18" s="52">
        <v>81.3</v>
      </c>
      <c r="Z18" s="68">
        <v>30.9</v>
      </c>
      <c r="AA18" s="68">
        <v>26.6</v>
      </c>
      <c r="AB18" s="68">
        <v>23.2</v>
      </c>
      <c r="AC18" s="80">
        <v>2.08</v>
      </c>
      <c r="AD18" s="80">
        <v>2.31</v>
      </c>
      <c r="AE18" s="80">
        <v>2.37</v>
      </c>
      <c r="AF18" s="52">
        <v>23.6</v>
      </c>
      <c r="AG18" s="52">
        <v>19.5</v>
      </c>
      <c r="AH18" s="52">
        <v>19.399999999999999</v>
      </c>
      <c r="AI18" s="68">
        <v>90.9</v>
      </c>
      <c r="AJ18" s="68">
        <v>86.2</v>
      </c>
      <c r="AK18" s="68">
        <v>87.8</v>
      </c>
      <c r="AL18" s="68">
        <v>1</v>
      </c>
      <c r="AM18" s="68">
        <v>1.7</v>
      </c>
      <c r="AN18" s="68">
        <v>1.5</v>
      </c>
      <c r="AO18" s="68">
        <v>0</v>
      </c>
      <c r="AP18" s="68">
        <v>3</v>
      </c>
      <c r="AQ18" s="68">
        <v>2.6</v>
      </c>
      <c r="AR18" s="51">
        <v>42</v>
      </c>
      <c r="AS18" s="51">
        <v>-16</v>
      </c>
      <c r="AT18" s="51">
        <v>53</v>
      </c>
      <c r="AU18" s="51">
        <v>-16</v>
      </c>
      <c r="AV18" s="51">
        <v>64</v>
      </c>
      <c r="AW18" s="51">
        <v>-13</v>
      </c>
      <c r="AX18" s="52">
        <v>53.271028037383175</v>
      </c>
      <c r="AY18" s="51">
        <v>-24</v>
      </c>
      <c r="AZ18" s="52">
        <v>71.078431372549019</v>
      </c>
      <c r="BA18" s="52">
        <v>70.798479087452478</v>
      </c>
      <c r="BB18" s="52">
        <v>59.259259259259252</v>
      </c>
      <c r="BC18" s="52">
        <v>70.238095238095227</v>
      </c>
      <c r="BD18" s="52">
        <v>67.333333333333329</v>
      </c>
      <c r="BE18" s="85"/>
      <c r="BF18" s="85"/>
      <c r="BG18" s="53"/>
      <c r="BH18" s="52">
        <v>75.2</v>
      </c>
      <c r="BI18" s="52">
        <v>67</v>
      </c>
      <c r="BJ18" s="52">
        <v>78.2</v>
      </c>
      <c r="BK18" s="52">
        <v>8.1999999999999993</v>
      </c>
      <c r="BL18" s="52">
        <v>7.2</v>
      </c>
      <c r="BM18" s="53">
        <v>6.3</v>
      </c>
      <c r="BN18" s="52">
        <v>46.2</v>
      </c>
      <c r="BO18" s="52">
        <v>47</v>
      </c>
      <c r="BP18" s="52">
        <v>45.9</v>
      </c>
      <c r="BQ18" s="52" t="s">
        <v>57</v>
      </c>
      <c r="BR18" s="84">
        <v>59.191919191919197</v>
      </c>
      <c r="BS18" s="84">
        <v>59</v>
      </c>
      <c r="BT18" s="9">
        <v>55.8</v>
      </c>
      <c r="BU18" s="84">
        <v>38.4</v>
      </c>
      <c r="BV18" s="9">
        <v>46.4</v>
      </c>
      <c r="BW18" s="9">
        <v>39.6</v>
      </c>
      <c r="BX18" s="84">
        <v>10.6</v>
      </c>
      <c r="BY18" s="9">
        <v>12.1</v>
      </c>
      <c r="BZ18" s="9">
        <v>14.5</v>
      </c>
    </row>
    <row r="19" spans="1:78" s="9" customFormat="1">
      <c r="A19" s="9" t="s">
        <v>136</v>
      </c>
      <c r="B19" s="9" t="s">
        <v>60</v>
      </c>
      <c r="C19" s="9" t="s">
        <v>76</v>
      </c>
      <c r="D19" s="9" t="s">
        <v>89</v>
      </c>
      <c r="E19" s="9" t="s">
        <v>84</v>
      </c>
      <c r="F19" s="9">
        <v>334</v>
      </c>
      <c r="G19" s="53" t="s">
        <v>12</v>
      </c>
      <c r="H19" s="9">
        <v>271</v>
      </c>
      <c r="I19" s="9">
        <v>56</v>
      </c>
      <c r="J19" s="9">
        <v>265</v>
      </c>
      <c r="K19" s="9">
        <v>56</v>
      </c>
      <c r="L19" s="9">
        <v>258</v>
      </c>
      <c r="M19" s="9">
        <v>58</v>
      </c>
      <c r="N19" s="52">
        <v>8.5</v>
      </c>
      <c r="O19" s="68">
        <v>5.7</v>
      </c>
      <c r="P19" s="52">
        <v>5.3</v>
      </c>
      <c r="Q19" s="68">
        <v>54.5</v>
      </c>
      <c r="R19" s="52">
        <v>57.1</v>
      </c>
      <c r="S19" s="51">
        <v>59.8</v>
      </c>
      <c r="T19" s="68">
        <v>9</v>
      </c>
      <c r="U19" s="52">
        <v>6.2</v>
      </c>
      <c r="V19" s="51">
        <v>5.9</v>
      </c>
      <c r="W19" s="68">
        <v>86.1</v>
      </c>
      <c r="X19" s="68">
        <v>83.2</v>
      </c>
      <c r="Y19" s="52">
        <v>81.3</v>
      </c>
      <c r="Z19" s="68">
        <v>8.5</v>
      </c>
      <c r="AA19" s="68">
        <v>26.6</v>
      </c>
      <c r="AB19" s="68">
        <v>23.2</v>
      </c>
      <c r="AC19" s="80">
        <v>2.2000000000000002</v>
      </c>
      <c r="AD19" s="80">
        <v>2.31</v>
      </c>
      <c r="AE19" s="80">
        <v>2.37</v>
      </c>
      <c r="AF19" s="52">
        <v>18.899999999999999</v>
      </c>
      <c r="AG19" s="52">
        <v>19.5</v>
      </c>
      <c r="AH19" s="52">
        <v>19.399999999999999</v>
      </c>
      <c r="AI19" s="68">
        <v>81.8</v>
      </c>
      <c r="AJ19" s="68">
        <v>86.2</v>
      </c>
      <c r="AK19" s="68">
        <v>87.8</v>
      </c>
      <c r="AL19" s="68">
        <v>0</v>
      </c>
      <c r="AM19" s="68">
        <v>1.7</v>
      </c>
      <c r="AN19" s="68">
        <v>1.5</v>
      </c>
      <c r="AO19" s="68">
        <v>6.1</v>
      </c>
      <c r="AP19" s="68">
        <v>3</v>
      </c>
      <c r="AQ19" s="68">
        <v>2.6</v>
      </c>
      <c r="AR19" s="51">
        <v>59</v>
      </c>
      <c r="AS19" s="51">
        <v>-9</v>
      </c>
      <c r="AT19" s="51">
        <v>69</v>
      </c>
      <c r="AU19" s="51">
        <v>-8</v>
      </c>
      <c r="AV19" s="51">
        <v>92</v>
      </c>
      <c r="AW19" s="51">
        <v>7</v>
      </c>
      <c r="AX19" s="52">
        <v>80</v>
      </c>
      <c r="AY19" s="51">
        <v>-4</v>
      </c>
      <c r="AZ19" s="52">
        <v>71.078431372549019</v>
      </c>
      <c r="BA19" s="52">
        <v>70.798479087452478</v>
      </c>
      <c r="BB19" s="52">
        <v>63.157894736842103</v>
      </c>
      <c r="BC19" s="52">
        <v>70.238095238095227</v>
      </c>
      <c r="BD19" s="52">
        <v>67.333333333333329</v>
      </c>
      <c r="BE19" s="85"/>
      <c r="BF19" s="85"/>
      <c r="BG19" s="53"/>
      <c r="BH19" s="52">
        <v>68.8</v>
      </c>
      <c r="BI19" s="52">
        <v>67</v>
      </c>
      <c r="BJ19" s="52">
        <v>78.2</v>
      </c>
      <c r="BK19" s="52">
        <v>7.7</v>
      </c>
      <c r="BL19" s="52">
        <v>7.2</v>
      </c>
      <c r="BM19" s="53">
        <v>6.3</v>
      </c>
      <c r="BN19" s="52">
        <v>49.6</v>
      </c>
      <c r="BO19" s="52">
        <v>47</v>
      </c>
      <c r="BP19" s="52">
        <v>45.9</v>
      </c>
      <c r="BQ19" s="52" t="s">
        <v>60</v>
      </c>
      <c r="BR19" s="84">
        <v>53.164556962025308</v>
      </c>
      <c r="BS19" s="84">
        <v>59</v>
      </c>
      <c r="BT19" s="9">
        <v>55.8</v>
      </c>
      <c r="BU19" s="84">
        <v>56.4</v>
      </c>
      <c r="BV19" s="9">
        <v>46.4</v>
      </c>
      <c r="BW19" s="9">
        <v>39.6</v>
      </c>
      <c r="BX19" s="84">
        <v>19.600000000000001</v>
      </c>
      <c r="BY19" s="9">
        <v>12.1</v>
      </c>
      <c r="BZ19" s="9">
        <v>14.5</v>
      </c>
    </row>
    <row r="20" spans="1:78" s="9" customFormat="1">
      <c r="A20" s="9" t="s">
        <v>137</v>
      </c>
      <c r="B20" s="9" t="s">
        <v>61</v>
      </c>
      <c r="C20" s="9" t="s">
        <v>76</v>
      </c>
      <c r="D20" s="9" t="s">
        <v>91</v>
      </c>
      <c r="E20" s="9" t="s">
        <v>84</v>
      </c>
      <c r="F20" s="9">
        <v>121</v>
      </c>
      <c r="G20" s="53" t="s">
        <v>12</v>
      </c>
      <c r="H20" s="9">
        <v>80</v>
      </c>
      <c r="I20" s="53" t="s">
        <v>12</v>
      </c>
      <c r="J20" s="9">
        <v>70</v>
      </c>
      <c r="K20" s="53" t="s">
        <v>12</v>
      </c>
      <c r="L20" s="9">
        <v>61</v>
      </c>
      <c r="M20" s="53" t="s">
        <v>12</v>
      </c>
      <c r="N20" s="52">
        <v>26.5</v>
      </c>
      <c r="O20" s="68">
        <v>5.7</v>
      </c>
      <c r="P20" s="52">
        <v>5.3</v>
      </c>
      <c r="Q20" s="68">
        <v>81.400000000000006</v>
      </c>
      <c r="R20" s="52">
        <v>57.1</v>
      </c>
      <c r="S20" s="51">
        <v>59.8</v>
      </c>
      <c r="T20" s="52">
        <v>0</v>
      </c>
      <c r="U20" s="52">
        <v>6.2</v>
      </c>
      <c r="V20" s="51">
        <v>5.9</v>
      </c>
      <c r="W20" s="68">
        <v>64.7</v>
      </c>
      <c r="X20" s="68">
        <v>83.2</v>
      </c>
      <c r="Y20" s="52">
        <v>81.3</v>
      </c>
      <c r="Z20" s="68">
        <v>40</v>
      </c>
      <c r="AA20" s="68">
        <v>26.6</v>
      </c>
      <c r="AB20" s="68">
        <v>23.2</v>
      </c>
      <c r="AC20" s="80">
        <v>2.97</v>
      </c>
      <c r="AD20" s="80">
        <v>2.31</v>
      </c>
      <c r="AE20" s="80">
        <v>2.37</v>
      </c>
      <c r="AF20" s="52">
        <v>11.7</v>
      </c>
      <c r="AG20" s="52">
        <v>19.5</v>
      </c>
      <c r="AH20" s="52">
        <v>19.399999999999999</v>
      </c>
      <c r="AI20" s="68">
        <v>84.6</v>
      </c>
      <c r="AJ20" s="68">
        <v>86.2</v>
      </c>
      <c r="AK20" s="68">
        <v>87.8</v>
      </c>
      <c r="AL20" s="68">
        <v>0</v>
      </c>
      <c r="AM20" s="68">
        <v>1.7</v>
      </c>
      <c r="AN20" s="68">
        <v>1.5</v>
      </c>
      <c r="AO20" s="68">
        <v>0</v>
      </c>
      <c r="AP20" s="68">
        <v>3</v>
      </c>
      <c r="AQ20" s="68">
        <v>2.6</v>
      </c>
      <c r="AR20" s="51">
        <v>60</v>
      </c>
      <c r="AS20" s="51">
        <v>25</v>
      </c>
      <c r="AT20" s="51">
        <v>71</v>
      </c>
      <c r="AU20" s="51">
        <v>25</v>
      </c>
      <c r="AV20" s="51">
        <v>71</v>
      </c>
      <c r="AW20" s="51">
        <v>17</v>
      </c>
      <c r="AX20" s="52">
        <v>71.428571428571431</v>
      </c>
      <c r="AY20" s="51">
        <v>11</v>
      </c>
      <c r="AZ20" s="52">
        <v>71.078431372549019</v>
      </c>
      <c r="BA20" s="52">
        <v>70.798479087452478</v>
      </c>
      <c r="BB20" s="52" t="s">
        <v>12</v>
      </c>
      <c r="BC20" s="52">
        <v>70.238095238095227</v>
      </c>
      <c r="BD20" s="52">
        <v>67.333333333333329</v>
      </c>
      <c r="BE20" s="85"/>
      <c r="BF20" s="85"/>
      <c r="BG20" s="53"/>
      <c r="BH20" s="52">
        <v>57.3</v>
      </c>
      <c r="BI20" s="52">
        <v>67</v>
      </c>
      <c r="BJ20" s="52">
        <v>78.2</v>
      </c>
      <c r="BK20" s="52">
        <v>5.6</v>
      </c>
      <c r="BL20" s="52">
        <v>7.2</v>
      </c>
      <c r="BM20" s="53">
        <v>6.3</v>
      </c>
      <c r="BN20" s="52">
        <v>43.3</v>
      </c>
      <c r="BO20" s="52">
        <v>47</v>
      </c>
      <c r="BP20" s="52">
        <v>45.9</v>
      </c>
      <c r="BQ20" s="52" t="s">
        <v>61</v>
      </c>
      <c r="BR20" s="84">
        <v>76.666666666666671</v>
      </c>
      <c r="BS20" s="84">
        <v>59</v>
      </c>
      <c r="BT20" s="9">
        <v>55.8</v>
      </c>
      <c r="BU20" s="84">
        <v>25</v>
      </c>
      <c r="BV20" s="9">
        <v>46.4</v>
      </c>
      <c r="BW20" s="9">
        <v>39.6</v>
      </c>
      <c r="BX20" s="84">
        <v>0</v>
      </c>
      <c r="BY20" s="9">
        <v>12.1</v>
      </c>
      <c r="BZ20" s="9">
        <v>14.5</v>
      </c>
    </row>
    <row r="21" spans="1:78" s="9" customFormat="1">
      <c r="A21" s="9" t="s">
        <v>138</v>
      </c>
      <c r="B21" s="9" t="s">
        <v>62</v>
      </c>
      <c r="C21" s="9" t="s">
        <v>76</v>
      </c>
      <c r="D21" s="9" t="s">
        <v>89</v>
      </c>
      <c r="E21" s="9" t="s">
        <v>84</v>
      </c>
      <c r="F21" s="9">
        <v>385</v>
      </c>
      <c r="G21" s="53" t="s">
        <v>12</v>
      </c>
      <c r="H21" s="9">
        <v>278</v>
      </c>
      <c r="I21" s="53" t="s">
        <v>12</v>
      </c>
      <c r="J21" s="9">
        <v>291</v>
      </c>
      <c r="K21" s="53" t="s">
        <v>12</v>
      </c>
      <c r="L21" s="9">
        <v>281</v>
      </c>
      <c r="M21" s="53" t="s">
        <v>12</v>
      </c>
      <c r="N21" s="52">
        <v>8.5</v>
      </c>
      <c r="O21" s="68">
        <v>5.7</v>
      </c>
      <c r="P21" s="52">
        <v>5.3</v>
      </c>
      <c r="Q21" s="68">
        <v>68</v>
      </c>
      <c r="R21" s="52">
        <v>57.1</v>
      </c>
      <c r="S21" s="51">
        <v>59.8</v>
      </c>
      <c r="T21" s="68">
        <v>6.2</v>
      </c>
      <c r="U21" s="52">
        <v>6.2</v>
      </c>
      <c r="V21" s="51">
        <v>5.9</v>
      </c>
      <c r="W21" s="68">
        <v>77.5</v>
      </c>
      <c r="X21" s="68">
        <v>83.2</v>
      </c>
      <c r="Y21" s="52">
        <v>81.3</v>
      </c>
      <c r="Z21" s="68">
        <v>31.3</v>
      </c>
      <c r="AA21" s="68">
        <v>26.6</v>
      </c>
      <c r="AB21" s="68">
        <v>23.2</v>
      </c>
      <c r="AC21" s="80">
        <v>2.88</v>
      </c>
      <c r="AD21" s="80">
        <v>2.31</v>
      </c>
      <c r="AE21" s="80">
        <v>2.37</v>
      </c>
      <c r="AF21" s="52">
        <v>18.2</v>
      </c>
      <c r="AG21" s="52">
        <v>19.5</v>
      </c>
      <c r="AH21" s="52">
        <v>19.399999999999999</v>
      </c>
      <c r="AI21" s="68">
        <v>76.5</v>
      </c>
      <c r="AJ21" s="68">
        <v>86.2</v>
      </c>
      <c r="AK21" s="68">
        <v>87.8</v>
      </c>
      <c r="AL21" s="68">
        <v>7.8</v>
      </c>
      <c r="AM21" s="68">
        <v>1.7</v>
      </c>
      <c r="AN21" s="68">
        <v>1.5</v>
      </c>
      <c r="AO21" s="68">
        <v>0</v>
      </c>
      <c r="AP21" s="68">
        <v>3</v>
      </c>
      <c r="AQ21" s="68">
        <v>2.6</v>
      </c>
      <c r="AR21" s="51">
        <v>41</v>
      </c>
      <c r="AS21" s="51">
        <v>-16</v>
      </c>
      <c r="AT21" s="51">
        <v>52</v>
      </c>
      <c r="AU21" s="51">
        <v>-16</v>
      </c>
      <c r="AV21" s="51">
        <v>64</v>
      </c>
      <c r="AW21" s="51">
        <v>-12</v>
      </c>
      <c r="AX21" s="52">
        <v>64</v>
      </c>
      <c r="AY21" s="51">
        <v>-12</v>
      </c>
      <c r="AZ21" s="52">
        <v>71.078431372549019</v>
      </c>
      <c r="BA21" s="52">
        <v>70.798479087452478</v>
      </c>
      <c r="BB21" s="52" t="s">
        <v>12</v>
      </c>
      <c r="BC21" s="52">
        <v>70.238095238095227</v>
      </c>
      <c r="BD21" s="52">
        <v>67.333333333333329</v>
      </c>
      <c r="BE21" s="85"/>
      <c r="BF21" s="85"/>
      <c r="BG21" s="53"/>
      <c r="BH21" s="52">
        <v>75.3</v>
      </c>
      <c r="BI21" s="52">
        <v>67</v>
      </c>
      <c r="BJ21" s="52">
        <v>78.2</v>
      </c>
      <c r="BK21" s="52">
        <v>7.7</v>
      </c>
      <c r="BL21" s="52">
        <v>7.2</v>
      </c>
      <c r="BM21" s="53">
        <v>6.3</v>
      </c>
      <c r="BN21" s="52">
        <v>44.7</v>
      </c>
      <c r="BO21" s="52">
        <v>47</v>
      </c>
      <c r="BP21" s="52">
        <v>45.9</v>
      </c>
      <c r="BQ21" s="52" t="s">
        <v>62</v>
      </c>
      <c r="BR21" s="84">
        <v>69.415807560137452</v>
      </c>
      <c r="BS21" s="84">
        <v>59</v>
      </c>
      <c r="BT21" s="9">
        <v>55.8</v>
      </c>
      <c r="BU21" s="84">
        <v>39</v>
      </c>
      <c r="BV21" s="9">
        <v>46.4</v>
      </c>
      <c r="BW21" s="9">
        <v>39.6</v>
      </c>
      <c r="BX21" s="84">
        <v>15.4</v>
      </c>
      <c r="BY21" s="9">
        <v>12.1</v>
      </c>
      <c r="BZ21" s="9">
        <v>14.5</v>
      </c>
    </row>
    <row r="22" spans="1:78" s="9" customFormat="1">
      <c r="A22" s="9" t="s">
        <v>139</v>
      </c>
      <c r="B22" s="9" t="s">
        <v>63</v>
      </c>
      <c r="C22" s="9" t="s">
        <v>76</v>
      </c>
      <c r="D22" s="9" t="s">
        <v>90</v>
      </c>
      <c r="E22" s="9" t="s">
        <v>84</v>
      </c>
      <c r="F22" s="9">
        <v>153</v>
      </c>
      <c r="G22" s="53" t="s">
        <v>12</v>
      </c>
      <c r="H22" s="9">
        <v>127</v>
      </c>
      <c r="I22" s="53" t="s">
        <v>12</v>
      </c>
      <c r="J22" s="9">
        <v>114</v>
      </c>
      <c r="K22" s="53" t="s">
        <v>12</v>
      </c>
      <c r="L22" s="9">
        <v>78</v>
      </c>
      <c r="M22" s="53" t="s">
        <v>12</v>
      </c>
      <c r="N22" s="52">
        <v>12.6</v>
      </c>
      <c r="O22" s="68">
        <v>5.7</v>
      </c>
      <c r="P22" s="52">
        <v>5.3</v>
      </c>
      <c r="Q22" s="68">
        <v>58.8</v>
      </c>
      <c r="R22" s="52">
        <v>57.1</v>
      </c>
      <c r="S22" s="51">
        <v>59.8</v>
      </c>
      <c r="T22" s="68">
        <v>1.8</v>
      </c>
      <c r="U22" s="52">
        <v>6.2</v>
      </c>
      <c r="V22" s="51">
        <v>5.9</v>
      </c>
      <c r="W22" s="68">
        <v>77.2</v>
      </c>
      <c r="X22" s="68">
        <v>83.2</v>
      </c>
      <c r="Y22" s="52">
        <v>81.3</v>
      </c>
      <c r="Z22" s="68">
        <v>0</v>
      </c>
      <c r="AA22" s="68">
        <v>26.6</v>
      </c>
      <c r="AB22" s="68">
        <v>23.2</v>
      </c>
      <c r="AC22" s="80">
        <v>3.3</v>
      </c>
      <c r="AD22" s="80">
        <v>2.31</v>
      </c>
      <c r="AE22" s="80">
        <v>2.37</v>
      </c>
      <c r="AF22" s="52">
        <v>11.4</v>
      </c>
      <c r="AG22" s="52">
        <v>19.5</v>
      </c>
      <c r="AH22" s="52">
        <v>19.399999999999999</v>
      </c>
      <c r="AI22" s="68">
        <v>75</v>
      </c>
      <c r="AJ22" s="68">
        <v>86.2</v>
      </c>
      <c r="AK22" s="68">
        <v>87.8</v>
      </c>
      <c r="AL22" s="68">
        <v>0</v>
      </c>
      <c r="AM22" s="68">
        <v>1.7</v>
      </c>
      <c r="AN22" s="68">
        <v>1.5</v>
      </c>
      <c r="AO22" s="68">
        <v>12.5</v>
      </c>
      <c r="AP22" s="68">
        <v>3</v>
      </c>
      <c r="AQ22" s="68">
        <v>2.6</v>
      </c>
      <c r="AR22" s="51">
        <v>11</v>
      </c>
      <c r="AS22" s="51">
        <v>-42</v>
      </c>
      <c r="AT22" s="51">
        <v>32</v>
      </c>
      <c r="AU22" s="51">
        <v>-34</v>
      </c>
      <c r="AV22" s="51">
        <v>53</v>
      </c>
      <c r="AW22" s="51">
        <v>-23</v>
      </c>
      <c r="AX22" s="52">
        <v>62.5</v>
      </c>
      <c r="AY22" s="51">
        <v>-18</v>
      </c>
      <c r="AZ22" s="52">
        <v>71.078431372549019</v>
      </c>
      <c r="BA22" s="52">
        <v>70.798479087452478</v>
      </c>
      <c r="BB22" s="52" t="s">
        <v>12</v>
      </c>
      <c r="BC22" s="52">
        <v>70.238095238095227</v>
      </c>
      <c r="BD22" s="52">
        <v>67.333333333333329</v>
      </c>
      <c r="BE22" s="85"/>
      <c r="BF22" s="85"/>
      <c r="BG22" s="53"/>
      <c r="BH22" s="52">
        <v>50.7</v>
      </c>
      <c r="BI22" s="52">
        <v>67</v>
      </c>
      <c r="BJ22" s="52">
        <v>78.2</v>
      </c>
      <c r="BK22" s="52">
        <v>4.3</v>
      </c>
      <c r="BL22" s="52">
        <v>7.2</v>
      </c>
      <c r="BM22" s="53">
        <v>6.3</v>
      </c>
      <c r="BN22" s="52">
        <v>41.4</v>
      </c>
      <c r="BO22" s="52">
        <v>47</v>
      </c>
      <c r="BP22" s="52">
        <v>45.9</v>
      </c>
      <c r="BQ22" s="52" t="s">
        <v>63</v>
      </c>
      <c r="BR22" s="84">
        <v>57.894736842105267</v>
      </c>
      <c r="BS22" s="84">
        <v>59</v>
      </c>
      <c r="BT22" s="9">
        <v>55.8</v>
      </c>
      <c r="BU22" s="84">
        <v>33.299999999999997</v>
      </c>
      <c r="BV22" s="9">
        <v>46.4</v>
      </c>
      <c r="BW22" s="9">
        <v>39.6</v>
      </c>
      <c r="BX22" s="84">
        <v>0</v>
      </c>
      <c r="BY22" s="9">
        <v>12.1</v>
      </c>
      <c r="BZ22" s="9">
        <v>14.5</v>
      </c>
    </row>
    <row r="23" spans="1:78" s="9" customFormat="1">
      <c r="A23" s="9" t="s">
        <v>140</v>
      </c>
      <c r="B23" s="9" t="s">
        <v>64</v>
      </c>
      <c r="C23" s="28" t="s">
        <v>18</v>
      </c>
      <c r="D23" s="9" t="s">
        <v>29</v>
      </c>
      <c r="E23" s="9" t="s">
        <v>82</v>
      </c>
      <c r="F23" s="9">
        <v>838</v>
      </c>
      <c r="G23" s="9">
        <v>44</v>
      </c>
      <c r="H23" s="9">
        <v>741</v>
      </c>
      <c r="I23" s="9">
        <v>63</v>
      </c>
      <c r="J23" s="9">
        <v>724</v>
      </c>
      <c r="K23" s="9">
        <v>58</v>
      </c>
      <c r="L23" s="9">
        <v>733</v>
      </c>
      <c r="M23" s="9">
        <v>65</v>
      </c>
      <c r="N23" s="52">
        <v>-1.9</v>
      </c>
      <c r="O23" s="68">
        <v>4.9000000000000004</v>
      </c>
      <c r="P23" s="52">
        <v>5.3</v>
      </c>
      <c r="Q23" s="68">
        <v>63.9</v>
      </c>
      <c r="R23" s="52">
        <v>62.5</v>
      </c>
      <c r="S23" s="51">
        <v>59.8</v>
      </c>
      <c r="T23" s="68">
        <v>4.7</v>
      </c>
      <c r="U23" s="52">
        <v>5.7</v>
      </c>
      <c r="V23" s="51">
        <v>5.9</v>
      </c>
      <c r="W23" s="68">
        <v>79</v>
      </c>
      <c r="X23" s="68">
        <v>79.599999999999994</v>
      </c>
      <c r="Y23" s="52">
        <v>81.3</v>
      </c>
      <c r="Z23" s="68">
        <v>23.6</v>
      </c>
      <c r="AA23" s="68">
        <v>20.5</v>
      </c>
      <c r="AB23" s="68">
        <v>23.2</v>
      </c>
      <c r="AC23" s="80">
        <v>2.6</v>
      </c>
      <c r="AD23" s="80">
        <v>2.4300000000000002</v>
      </c>
      <c r="AE23" s="80">
        <v>2.37</v>
      </c>
      <c r="AF23" s="52">
        <v>18.3</v>
      </c>
      <c r="AG23" s="52">
        <v>19.399999999999999</v>
      </c>
      <c r="AH23" s="52">
        <v>19.399999999999999</v>
      </c>
      <c r="AI23" s="68">
        <v>88</v>
      </c>
      <c r="AJ23" s="68">
        <v>89.2</v>
      </c>
      <c r="AK23" s="68">
        <v>87.8</v>
      </c>
      <c r="AL23" s="68">
        <v>2.2000000000000002</v>
      </c>
      <c r="AM23" s="68">
        <v>1.3</v>
      </c>
      <c r="AN23" s="68">
        <v>1.5</v>
      </c>
      <c r="AO23" s="68">
        <v>3.3</v>
      </c>
      <c r="AP23" s="68">
        <v>2.2000000000000002</v>
      </c>
      <c r="AQ23" s="68">
        <v>2.6</v>
      </c>
      <c r="AR23" s="51">
        <v>55</v>
      </c>
      <c r="AS23" s="51">
        <v>-9</v>
      </c>
      <c r="AT23" s="51">
        <v>60</v>
      </c>
      <c r="AU23" s="51">
        <v>-14</v>
      </c>
      <c r="AV23" s="51">
        <v>67</v>
      </c>
      <c r="AW23" s="51">
        <v>-17</v>
      </c>
      <c r="AX23" s="52">
        <v>63.522012578616348</v>
      </c>
      <c r="AY23" s="51">
        <v>-23</v>
      </c>
      <c r="AZ23" s="52">
        <v>70.554765291607396</v>
      </c>
      <c r="BA23" s="52">
        <v>70.798479087452478</v>
      </c>
      <c r="BB23" s="52">
        <v>60.869565217391312</v>
      </c>
      <c r="BC23" s="52">
        <v>63.636363636363633</v>
      </c>
      <c r="BD23" s="52">
        <v>67.333333333333329</v>
      </c>
      <c r="BE23" s="52"/>
      <c r="BF23" s="52"/>
      <c r="BG23" s="53"/>
      <c r="BH23" s="52">
        <v>84.3</v>
      </c>
      <c r="BI23" s="52">
        <v>84.8</v>
      </c>
      <c r="BJ23" s="52">
        <v>78.2</v>
      </c>
      <c r="BK23" s="52">
        <v>7.9</v>
      </c>
      <c r="BL23" s="52">
        <v>5.8</v>
      </c>
      <c r="BM23" s="53">
        <v>6.3</v>
      </c>
      <c r="BN23" s="52">
        <v>48.1</v>
      </c>
      <c r="BO23" s="52">
        <v>45.2</v>
      </c>
      <c r="BP23" s="52">
        <v>45.9</v>
      </c>
      <c r="BQ23" s="52" t="s">
        <v>64</v>
      </c>
      <c r="BR23" s="84">
        <v>54.532775453277551</v>
      </c>
      <c r="BS23" s="84">
        <v>53.1</v>
      </c>
      <c r="BT23" s="9">
        <v>55.8</v>
      </c>
      <c r="BU23" s="84">
        <v>36.4</v>
      </c>
      <c r="BV23" s="9">
        <v>34.5</v>
      </c>
      <c r="BW23" s="9">
        <v>39.6</v>
      </c>
      <c r="BX23" s="84">
        <v>21.3</v>
      </c>
      <c r="BY23" s="9">
        <v>16.100000000000001</v>
      </c>
      <c r="BZ23" s="9">
        <v>14.5</v>
      </c>
    </row>
    <row r="24" spans="1:78" s="9" customFormat="1">
      <c r="A24" s="9" t="s">
        <v>142</v>
      </c>
      <c r="B24" s="9" t="s">
        <v>66</v>
      </c>
      <c r="C24" s="9" t="s">
        <v>76</v>
      </c>
      <c r="D24" s="9" t="s">
        <v>87</v>
      </c>
      <c r="E24" s="9" t="s">
        <v>84</v>
      </c>
      <c r="F24" s="9">
        <v>397</v>
      </c>
      <c r="G24" s="53" t="s">
        <v>12</v>
      </c>
      <c r="H24" s="9">
        <v>357</v>
      </c>
      <c r="I24" s="53" t="s">
        <v>12</v>
      </c>
      <c r="J24" s="9">
        <v>343</v>
      </c>
      <c r="K24" s="53" t="s">
        <v>12</v>
      </c>
      <c r="L24" s="9">
        <v>312</v>
      </c>
      <c r="M24" s="9">
        <v>19</v>
      </c>
      <c r="N24" s="52">
        <v>-1.2</v>
      </c>
      <c r="O24" s="68">
        <v>5.7</v>
      </c>
      <c r="P24" s="52">
        <v>5.3</v>
      </c>
      <c r="Q24" s="68">
        <v>59.8</v>
      </c>
      <c r="R24" s="52">
        <v>57.1</v>
      </c>
      <c r="S24" s="51">
        <v>59.8</v>
      </c>
      <c r="T24" s="68">
        <v>4.0999999999999996</v>
      </c>
      <c r="U24" s="52">
        <v>6.2</v>
      </c>
      <c r="V24" s="51">
        <v>5.9</v>
      </c>
      <c r="W24" s="68">
        <v>80.7</v>
      </c>
      <c r="X24" s="68">
        <v>83.2</v>
      </c>
      <c r="Y24" s="52">
        <v>81.3</v>
      </c>
      <c r="Z24" s="68">
        <v>18</v>
      </c>
      <c r="AA24" s="68">
        <v>26.6</v>
      </c>
      <c r="AB24" s="68">
        <v>23.2</v>
      </c>
      <c r="AC24" s="80">
        <v>1.92</v>
      </c>
      <c r="AD24" s="80">
        <v>2.31</v>
      </c>
      <c r="AE24" s="80">
        <v>2.37</v>
      </c>
      <c r="AF24" s="52">
        <v>19.100000000000001</v>
      </c>
      <c r="AG24" s="52">
        <v>19.5</v>
      </c>
      <c r="AH24" s="52">
        <v>19.399999999999999</v>
      </c>
      <c r="AI24" s="68">
        <v>96.8</v>
      </c>
      <c r="AJ24" s="68">
        <v>86.2</v>
      </c>
      <c r="AK24" s="68">
        <v>87.8</v>
      </c>
      <c r="AL24" s="68">
        <v>0</v>
      </c>
      <c r="AM24" s="68">
        <v>1.7</v>
      </c>
      <c r="AN24" s="68">
        <v>1.5</v>
      </c>
      <c r="AO24" s="68">
        <v>3.2</v>
      </c>
      <c r="AP24" s="68">
        <v>3</v>
      </c>
      <c r="AQ24" s="68">
        <v>2.6</v>
      </c>
      <c r="AR24" s="51">
        <v>44</v>
      </c>
      <c r="AS24" s="51">
        <v>-23</v>
      </c>
      <c r="AT24" s="51">
        <v>53</v>
      </c>
      <c r="AU24" s="51">
        <v>-24</v>
      </c>
      <c r="AV24" s="51">
        <v>64</v>
      </c>
      <c r="AW24" s="51">
        <v>-22</v>
      </c>
      <c r="AX24" s="52">
        <v>61.904761904761905</v>
      </c>
      <c r="AY24" s="51">
        <v>-24</v>
      </c>
      <c r="AZ24" s="52">
        <v>71.078431372549019</v>
      </c>
      <c r="BA24" s="52">
        <v>70.798479087452478</v>
      </c>
      <c r="BB24" s="52" t="s">
        <v>12</v>
      </c>
      <c r="BC24" s="52">
        <v>70.238095238095227</v>
      </c>
      <c r="BD24" s="52">
        <v>67.333333333333329</v>
      </c>
      <c r="BE24" s="85"/>
      <c r="BF24" s="85"/>
      <c r="BG24" s="53"/>
      <c r="BH24" s="52">
        <v>65.099999999999994</v>
      </c>
      <c r="BI24" s="52">
        <v>67</v>
      </c>
      <c r="BJ24" s="52">
        <v>78.2</v>
      </c>
      <c r="BK24" s="52">
        <v>6.5</v>
      </c>
      <c r="BL24" s="52">
        <v>7.2</v>
      </c>
      <c r="BM24" s="53">
        <v>6.3</v>
      </c>
      <c r="BN24" s="52">
        <v>48.2</v>
      </c>
      <c r="BO24" s="52">
        <v>47</v>
      </c>
      <c r="BP24" s="52">
        <v>45.9</v>
      </c>
      <c r="BQ24" s="52" t="s">
        <v>66</v>
      </c>
      <c r="BR24" s="84">
        <v>62.27106227106227</v>
      </c>
      <c r="BS24" s="84">
        <v>59</v>
      </c>
      <c r="BT24" s="9">
        <v>55.8</v>
      </c>
      <c r="BU24" s="84">
        <v>50</v>
      </c>
      <c r="BV24" s="9">
        <v>46.4</v>
      </c>
      <c r="BW24" s="9">
        <v>39.6</v>
      </c>
      <c r="BX24" s="84">
        <v>14.8</v>
      </c>
      <c r="BY24" s="9">
        <v>12.1</v>
      </c>
      <c r="BZ24" s="9">
        <v>14.5</v>
      </c>
    </row>
    <row r="25" spans="1:78" s="9" customFormat="1">
      <c r="A25" s="9" t="s">
        <v>143</v>
      </c>
      <c r="B25" s="9" t="s">
        <v>67</v>
      </c>
      <c r="C25" s="28" t="s">
        <v>18</v>
      </c>
      <c r="D25" s="9" t="s">
        <v>93</v>
      </c>
      <c r="E25" s="9" t="s">
        <v>82</v>
      </c>
      <c r="F25" s="9">
        <v>372</v>
      </c>
      <c r="G25" s="53" t="s">
        <v>12</v>
      </c>
      <c r="H25" s="9">
        <v>335</v>
      </c>
      <c r="I25" s="53" t="s">
        <v>12</v>
      </c>
      <c r="J25" s="9">
        <v>327</v>
      </c>
      <c r="K25" s="53" t="s">
        <v>12</v>
      </c>
      <c r="L25" s="9">
        <v>330</v>
      </c>
      <c r="M25" s="53" t="s">
        <v>12</v>
      </c>
      <c r="N25" s="52">
        <v>10.1</v>
      </c>
      <c r="O25" s="68">
        <v>4.9000000000000004</v>
      </c>
      <c r="P25" s="52">
        <v>5.3</v>
      </c>
      <c r="Q25" s="68">
        <v>78.3</v>
      </c>
      <c r="R25" s="52">
        <v>62.5</v>
      </c>
      <c r="S25" s="51">
        <v>59.8</v>
      </c>
      <c r="T25" s="68">
        <v>1.5</v>
      </c>
      <c r="U25" s="52">
        <v>5.7</v>
      </c>
      <c r="V25" s="51">
        <v>5.9</v>
      </c>
      <c r="W25" s="68">
        <v>68.900000000000006</v>
      </c>
      <c r="X25" s="68">
        <v>79.599999999999994</v>
      </c>
      <c r="Y25" s="52">
        <v>81.3</v>
      </c>
      <c r="Z25" s="68">
        <v>30.6</v>
      </c>
      <c r="AA25" s="68">
        <v>20.5</v>
      </c>
      <c r="AB25" s="68">
        <v>23.2</v>
      </c>
      <c r="AC25" s="80">
        <v>2.88</v>
      </c>
      <c r="AD25" s="80">
        <v>2.4300000000000002</v>
      </c>
      <c r="AE25" s="80">
        <v>2.37</v>
      </c>
      <c r="AF25" s="52">
        <v>14.9</v>
      </c>
      <c r="AG25" s="52">
        <v>19.399999999999999</v>
      </c>
      <c r="AH25" s="52">
        <v>19.399999999999999</v>
      </c>
      <c r="AI25" s="68">
        <v>96.3</v>
      </c>
      <c r="AJ25" s="68">
        <v>89.2</v>
      </c>
      <c r="AK25" s="68">
        <v>87.8</v>
      </c>
      <c r="AL25" s="68">
        <v>1.2</v>
      </c>
      <c r="AM25" s="68">
        <v>1.3</v>
      </c>
      <c r="AN25" s="68">
        <v>1.5</v>
      </c>
      <c r="AO25" s="68">
        <v>2.5</v>
      </c>
      <c r="AP25" s="68">
        <v>2.2000000000000002</v>
      </c>
      <c r="AQ25" s="68">
        <v>2.6</v>
      </c>
      <c r="AR25" s="51">
        <v>60</v>
      </c>
      <c r="AS25" s="51">
        <v>1</v>
      </c>
      <c r="AT25" s="51">
        <v>67</v>
      </c>
      <c r="AU25" s="51">
        <v>-3</v>
      </c>
      <c r="AV25" s="51">
        <v>80</v>
      </c>
      <c r="AW25" s="51">
        <v>1</v>
      </c>
      <c r="AX25" s="52">
        <v>75.949367088607602</v>
      </c>
      <c r="AY25" s="51">
        <v>-4</v>
      </c>
      <c r="AZ25" s="52">
        <v>70.554765291607396</v>
      </c>
      <c r="BA25" s="52">
        <v>70.798479087452478</v>
      </c>
      <c r="BB25" s="52" t="s">
        <v>12</v>
      </c>
      <c r="BC25" s="52">
        <v>63.636363636363633</v>
      </c>
      <c r="BD25" s="52">
        <v>67.333333333333329</v>
      </c>
      <c r="BE25" s="52"/>
      <c r="BF25" s="52"/>
      <c r="BG25" s="53"/>
      <c r="BH25" s="52">
        <v>83.8</v>
      </c>
      <c r="BI25" s="52">
        <v>84.8</v>
      </c>
      <c r="BJ25" s="52">
        <v>78.2</v>
      </c>
      <c r="BK25" s="52">
        <v>3.3</v>
      </c>
      <c r="BL25" s="52">
        <v>5.8</v>
      </c>
      <c r="BM25" s="53">
        <v>6.3</v>
      </c>
      <c r="BN25" s="52">
        <v>42.5</v>
      </c>
      <c r="BO25" s="52">
        <v>45.2</v>
      </c>
      <c r="BP25" s="52">
        <v>45.9</v>
      </c>
      <c r="BQ25" s="52" t="s">
        <v>67</v>
      </c>
      <c r="BR25" s="84">
        <v>70.030581039755347</v>
      </c>
      <c r="BS25" s="84">
        <v>53.1</v>
      </c>
      <c r="BT25" s="9">
        <v>55.8</v>
      </c>
      <c r="BU25" s="84">
        <v>36.4</v>
      </c>
      <c r="BV25" s="9">
        <v>34.5</v>
      </c>
      <c r="BW25" s="9">
        <v>39.6</v>
      </c>
      <c r="BX25" s="84">
        <v>5.0999999999999996</v>
      </c>
      <c r="BY25" s="9">
        <v>16.100000000000001</v>
      </c>
      <c r="BZ25" s="9">
        <v>14.5</v>
      </c>
    </row>
    <row r="26" spans="1:78" s="26" customFormat="1">
      <c r="A26" s="26" t="s">
        <v>130</v>
      </c>
      <c r="B26" s="26" t="s">
        <v>35</v>
      </c>
      <c r="C26" s="35" t="s">
        <v>18</v>
      </c>
      <c r="D26" s="26" t="s">
        <v>29</v>
      </c>
      <c r="E26" s="26" t="s">
        <v>81</v>
      </c>
      <c r="F26" s="26">
        <v>520</v>
      </c>
      <c r="G26" s="55" t="s">
        <v>12</v>
      </c>
      <c r="H26" s="26">
        <v>456</v>
      </c>
      <c r="I26" s="55" t="s">
        <v>12</v>
      </c>
      <c r="J26" s="26">
        <v>457</v>
      </c>
      <c r="K26" s="55" t="s">
        <v>12</v>
      </c>
      <c r="L26" s="26">
        <v>435</v>
      </c>
      <c r="M26" s="55" t="s">
        <v>12</v>
      </c>
      <c r="N26" s="56">
        <v>-2.1</v>
      </c>
      <c r="O26" s="69">
        <v>4.9000000000000004</v>
      </c>
      <c r="P26" s="56">
        <v>5.3</v>
      </c>
      <c r="Q26" s="69">
        <v>54.7</v>
      </c>
      <c r="R26" s="56">
        <v>62.5</v>
      </c>
      <c r="S26" s="56">
        <v>59.8</v>
      </c>
      <c r="T26" s="69">
        <v>8.1</v>
      </c>
      <c r="U26" s="56">
        <v>5.7</v>
      </c>
      <c r="V26" s="56">
        <v>5.9</v>
      </c>
      <c r="W26" s="69">
        <v>86.1</v>
      </c>
      <c r="X26" s="69">
        <v>79.599999999999994</v>
      </c>
      <c r="Y26" s="56">
        <v>81.3</v>
      </c>
      <c r="Z26" s="69">
        <v>14.4</v>
      </c>
      <c r="AA26" s="69">
        <v>20.5</v>
      </c>
      <c r="AB26" s="69">
        <v>23.2</v>
      </c>
      <c r="AC26" s="81">
        <v>2.19</v>
      </c>
      <c r="AD26" s="81">
        <v>2.4300000000000002</v>
      </c>
      <c r="AE26" s="81">
        <v>2.37</v>
      </c>
      <c r="AF26" s="56">
        <v>22.9</v>
      </c>
      <c r="AG26" s="56">
        <v>19.399999999999999</v>
      </c>
      <c r="AH26" s="56">
        <v>19.399999999999999</v>
      </c>
      <c r="AI26" s="69">
        <v>95.2</v>
      </c>
      <c r="AJ26" s="69">
        <v>89.2</v>
      </c>
      <c r="AK26" s="69">
        <v>87.8</v>
      </c>
      <c r="AL26" s="69">
        <v>0</v>
      </c>
      <c r="AM26" s="69">
        <v>1.3</v>
      </c>
      <c r="AN26" s="69">
        <v>1.5</v>
      </c>
      <c r="AO26" s="69">
        <v>0.8</v>
      </c>
      <c r="AP26" s="69">
        <v>2.2000000000000002</v>
      </c>
      <c r="AQ26" s="69">
        <v>2.6</v>
      </c>
      <c r="AR26" s="86">
        <v>46</v>
      </c>
      <c r="AS26" s="86">
        <v>-20</v>
      </c>
      <c r="AT26" s="86">
        <v>53</v>
      </c>
      <c r="AU26" s="86">
        <v>-23</v>
      </c>
      <c r="AV26" s="86">
        <v>63</v>
      </c>
      <c r="AW26" s="86">
        <v>-22</v>
      </c>
      <c r="AX26" s="56">
        <v>61.068702290076338</v>
      </c>
      <c r="AY26" s="86">
        <v>-23</v>
      </c>
      <c r="AZ26" s="56">
        <v>70.554765291607396</v>
      </c>
      <c r="BA26" s="56">
        <v>70.798479087452478</v>
      </c>
      <c r="BB26" s="55" t="s">
        <v>12</v>
      </c>
      <c r="BC26" s="56">
        <v>63.636363636363633</v>
      </c>
      <c r="BD26" s="56">
        <v>67.333333333333329</v>
      </c>
      <c r="BE26" s="56"/>
      <c r="BF26" s="56"/>
      <c r="BG26" s="55"/>
      <c r="BH26" s="56">
        <v>88.4</v>
      </c>
      <c r="BI26" s="56">
        <v>84.8</v>
      </c>
      <c r="BJ26" s="56">
        <v>78.2</v>
      </c>
      <c r="BK26" s="56">
        <v>7.3</v>
      </c>
      <c r="BL26" s="56">
        <v>5.8</v>
      </c>
      <c r="BM26" s="55">
        <v>6.3</v>
      </c>
      <c r="BN26" s="56">
        <v>44.6</v>
      </c>
      <c r="BO26" s="56">
        <v>45.2</v>
      </c>
      <c r="BP26" s="56">
        <v>45.9</v>
      </c>
      <c r="BQ26" s="56" t="s">
        <v>35</v>
      </c>
      <c r="BR26" s="87">
        <v>52.242152466367706</v>
      </c>
      <c r="BS26" s="87">
        <v>53.1</v>
      </c>
      <c r="BT26" s="87">
        <v>55.8</v>
      </c>
      <c r="BU26" s="87">
        <v>38.6</v>
      </c>
      <c r="BV26" s="26">
        <v>34.5</v>
      </c>
      <c r="BW26" s="26">
        <v>39.6</v>
      </c>
      <c r="BX26" s="87">
        <v>25.7</v>
      </c>
      <c r="BY26" s="26">
        <v>16.100000000000001</v>
      </c>
      <c r="BZ26" s="26">
        <v>14.5</v>
      </c>
    </row>
    <row r="27" spans="1:78" s="26" customFormat="1">
      <c r="A27" s="26" t="s">
        <v>141</v>
      </c>
      <c r="B27" s="26" t="s">
        <v>65</v>
      </c>
      <c r="C27" s="26" t="s">
        <v>76</v>
      </c>
      <c r="D27" s="26" t="s">
        <v>29</v>
      </c>
      <c r="E27" s="26" t="s">
        <v>85</v>
      </c>
      <c r="F27" s="26">
        <v>217</v>
      </c>
      <c r="G27" s="55" t="s">
        <v>12</v>
      </c>
      <c r="H27" s="26">
        <v>261</v>
      </c>
      <c r="I27" s="55" t="s">
        <v>12</v>
      </c>
      <c r="J27" s="26">
        <v>260</v>
      </c>
      <c r="K27" s="55" t="s">
        <v>12</v>
      </c>
      <c r="L27" s="26">
        <v>267</v>
      </c>
      <c r="M27" s="55" t="s">
        <v>12</v>
      </c>
      <c r="N27" s="56">
        <v>-1.7</v>
      </c>
      <c r="O27" s="69">
        <v>5.7</v>
      </c>
      <c r="P27" s="56">
        <v>5.3</v>
      </c>
      <c r="Q27" s="69">
        <v>43.5</v>
      </c>
      <c r="R27" s="56">
        <v>57.1</v>
      </c>
      <c r="S27" s="56">
        <v>59.8</v>
      </c>
      <c r="T27" s="69">
        <v>9.1999999999999993</v>
      </c>
      <c r="U27" s="56">
        <v>6.2</v>
      </c>
      <c r="V27" s="56">
        <v>5.9</v>
      </c>
      <c r="W27" s="69">
        <v>92.2</v>
      </c>
      <c r="X27" s="69">
        <v>83.2</v>
      </c>
      <c r="Y27" s="56">
        <v>81.3</v>
      </c>
      <c r="Z27" s="69">
        <v>33.799999999999997</v>
      </c>
      <c r="AA27" s="69">
        <v>26.6</v>
      </c>
      <c r="AB27" s="69">
        <v>23.2</v>
      </c>
      <c r="AC27" s="81">
        <v>1.93</v>
      </c>
      <c r="AD27" s="81">
        <v>2.31</v>
      </c>
      <c r="AE27" s="81">
        <v>2.37</v>
      </c>
      <c r="AF27" s="56">
        <v>26</v>
      </c>
      <c r="AG27" s="56">
        <v>19.5</v>
      </c>
      <c r="AH27" s="56">
        <v>19.399999999999999</v>
      </c>
      <c r="AI27" s="69">
        <v>83.3</v>
      </c>
      <c r="AJ27" s="69">
        <v>86.2</v>
      </c>
      <c r="AK27" s="69">
        <v>87.8</v>
      </c>
      <c r="AL27" s="69">
        <v>0</v>
      </c>
      <c r="AM27" s="69">
        <v>1.7</v>
      </c>
      <c r="AN27" s="69">
        <v>1.5</v>
      </c>
      <c r="AO27" s="69">
        <v>9.4</v>
      </c>
      <c r="AP27" s="69">
        <v>3</v>
      </c>
      <c r="AQ27" s="69">
        <v>2.6</v>
      </c>
      <c r="AR27" s="86">
        <v>61</v>
      </c>
      <c r="AS27" s="86">
        <v>-4</v>
      </c>
      <c r="AT27" s="86">
        <v>74</v>
      </c>
      <c r="AU27" s="86">
        <v>-2</v>
      </c>
      <c r="AV27" s="86">
        <v>90</v>
      </c>
      <c r="AW27" s="86">
        <v>5</v>
      </c>
      <c r="AX27" s="56">
        <v>87.142857142857139</v>
      </c>
      <c r="AY27" s="86">
        <v>3</v>
      </c>
      <c r="AZ27" s="56">
        <v>71.078431372549019</v>
      </c>
      <c r="BA27" s="56">
        <v>70.798479087452478</v>
      </c>
      <c r="BB27" s="55" t="s">
        <v>12</v>
      </c>
      <c r="BC27" s="56">
        <v>70.238095238095227</v>
      </c>
      <c r="BD27" s="56">
        <v>67.333333333333329</v>
      </c>
      <c r="BE27" s="88"/>
      <c r="BF27" s="88"/>
      <c r="BG27" s="55"/>
      <c r="BH27" s="56">
        <v>70.8</v>
      </c>
      <c r="BI27" s="56">
        <v>67</v>
      </c>
      <c r="BJ27" s="56">
        <v>78.2</v>
      </c>
      <c r="BK27" s="56">
        <v>8.4</v>
      </c>
      <c r="BL27" s="56">
        <v>7.2</v>
      </c>
      <c r="BM27" s="55">
        <v>6.3</v>
      </c>
      <c r="BN27" s="56">
        <v>50.9</v>
      </c>
      <c r="BO27" s="56">
        <v>47</v>
      </c>
      <c r="BP27" s="56">
        <v>45.9</v>
      </c>
      <c r="BQ27" s="56" t="s">
        <v>65</v>
      </c>
      <c r="BR27" s="87">
        <v>50.403225806451616</v>
      </c>
      <c r="BS27" s="87">
        <v>59</v>
      </c>
      <c r="BT27" s="87">
        <v>55.8</v>
      </c>
      <c r="BU27" s="87">
        <v>32.5</v>
      </c>
      <c r="BV27" s="26">
        <v>46.4</v>
      </c>
      <c r="BW27" s="26">
        <v>39.6</v>
      </c>
      <c r="BX27" s="87">
        <v>9.9</v>
      </c>
      <c r="BY27" s="26">
        <v>12.1</v>
      </c>
      <c r="BZ27" s="26">
        <v>14.5</v>
      </c>
    </row>
    <row r="28" spans="1:78" s="26" customFormat="1">
      <c r="A28" s="26" t="s">
        <v>144</v>
      </c>
      <c r="B28" s="26" t="s">
        <v>68</v>
      </c>
      <c r="C28" s="35" t="s">
        <v>18</v>
      </c>
      <c r="D28" s="26" t="s">
        <v>92</v>
      </c>
      <c r="E28" s="26" t="s">
        <v>81</v>
      </c>
      <c r="F28" s="26">
        <v>174</v>
      </c>
      <c r="G28" s="55" t="s">
        <v>12</v>
      </c>
      <c r="H28" s="26">
        <v>201</v>
      </c>
      <c r="I28" s="55" t="s">
        <v>12</v>
      </c>
      <c r="J28" s="26">
        <v>205</v>
      </c>
      <c r="K28" s="55" t="s">
        <v>12</v>
      </c>
      <c r="L28" s="26">
        <v>203</v>
      </c>
      <c r="M28" s="55" t="s">
        <v>12</v>
      </c>
      <c r="N28" s="56">
        <v>19.8</v>
      </c>
      <c r="O28" s="69">
        <v>4.9000000000000004</v>
      </c>
      <c r="P28" s="56">
        <v>5.3</v>
      </c>
      <c r="Q28" s="69">
        <v>67.3</v>
      </c>
      <c r="R28" s="56">
        <v>62.5</v>
      </c>
      <c r="S28" s="56">
        <v>59.8</v>
      </c>
      <c r="T28" s="69">
        <v>5.9</v>
      </c>
      <c r="U28" s="56">
        <v>5.7</v>
      </c>
      <c r="V28" s="56">
        <v>5.9</v>
      </c>
      <c r="W28" s="69">
        <v>73</v>
      </c>
      <c r="X28" s="69">
        <v>79.599999999999994</v>
      </c>
      <c r="Y28" s="56">
        <v>81.3</v>
      </c>
      <c r="Z28" s="69">
        <v>26.2</v>
      </c>
      <c r="AA28" s="69">
        <v>20.5</v>
      </c>
      <c r="AB28" s="69">
        <v>23.2</v>
      </c>
      <c r="AC28" s="81">
        <v>2.66</v>
      </c>
      <c r="AD28" s="81">
        <v>2.4300000000000002</v>
      </c>
      <c r="AE28" s="81">
        <v>2.37</v>
      </c>
      <c r="AF28" s="56">
        <v>16.399999999999999</v>
      </c>
      <c r="AG28" s="56">
        <v>19.399999999999999</v>
      </c>
      <c r="AH28" s="56">
        <v>19.399999999999999</v>
      </c>
      <c r="AI28" s="69">
        <v>83.3</v>
      </c>
      <c r="AJ28" s="69">
        <v>89.2</v>
      </c>
      <c r="AK28" s="69">
        <v>87.8</v>
      </c>
      <c r="AL28" s="69">
        <v>3.7</v>
      </c>
      <c r="AM28" s="69">
        <v>1.3</v>
      </c>
      <c r="AN28" s="69">
        <v>1.5</v>
      </c>
      <c r="AO28" s="69">
        <v>1.9</v>
      </c>
      <c r="AP28" s="69">
        <v>2.2000000000000002</v>
      </c>
      <c r="AQ28" s="69">
        <v>2.6</v>
      </c>
      <c r="AR28" s="86">
        <v>58</v>
      </c>
      <c r="AS28" s="86">
        <v>-10</v>
      </c>
      <c r="AT28" s="86">
        <v>85</v>
      </c>
      <c r="AU28" s="86">
        <v>7</v>
      </c>
      <c r="AV28" s="86">
        <v>100</v>
      </c>
      <c r="AW28" s="86">
        <v>12</v>
      </c>
      <c r="AX28" s="56">
        <v>94.73684210526315</v>
      </c>
      <c r="AY28" s="86">
        <v>6</v>
      </c>
      <c r="AZ28" s="56">
        <v>70.554765291607396</v>
      </c>
      <c r="BA28" s="56">
        <v>70.798479087452478</v>
      </c>
      <c r="BB28" s="55" t="s">
        <v>12</v>
      </c>
      <c r="BC28" s="56">
        <v>63.636363636363633</v>
      </c>
      <c r="BD28" s="56">
        <v>67.333333333333329</v>
      </c>
      <c r="BE28" s="56"/>
      <c r="BF28" s="56"/>
      <c r="BG28" s="55"/>
      <c r="BH28" s="56">
        <v>61.5</v>
      </c>
      <c r="BI28" s="56">
        <v>84.8</v>
      </c>
      <c r="BJ28" s="56">
        <v>78.2</v>
      </c>
      <c r="BK28" s="56">
        <v>3.1</v>
      </c>
      <c r="BL28" s="56">
        <v>5.8</v>
      </c>
      <c r="BM28" s="55">
        <v>6.3</v>
      </c>
      <c r="BN28" s="56">
        <v>44.7</v>
      </c>
      <c r="BO28" s="56">
        <v>45.2</v>
      </c>
      <c r="BP28" s="56">
        <v>45.9</v>
      </c>
      <c r="BQ28" s="56" t="s">
        <v>68</v>
      </c>
      <c r="BR28" s="87">
        <v>61.951219512195124</v>
      </c>
      <c r="BS28" s="87">
        <v>53.1</v>
      </c>
      <c r="BT28" s="87">
        <v>55.8</v>
      </c>
      <c r="BU28" s="87">
        <v>40</v>
      </c>
      <c r="BV28" s="26">
        <v>34.5</v>
      </c>
      <c r="BW28" s="26">
        <v>39.6</v>
      </c>
      <c r="BX28" s="87">
        <v>8.8000000000000007</v>
      </c>
      <c r="BY28" s="26">
        <v>16.100000000000001</v>
      </c>
      <c r="BZ28" s="26">
        <v>14.5</v>
      </c>
    </row>
    <row r="29" spans="1:78" s="26" customFormat="1">
      <c r="A29" s="26" t="s">
        <v>217</v>
      </c>
      <c r="B29" s="26" t="s">
        <v>74</v>
      </c>
      <c r="C29" s="35" t="s">
        <v>18</v>
      </c>
      <c r="D29" s="26" t="s">
        <v>95</v>
      </c>
      <c r="E29" s="26" t="s">
        <v>81</v>
      </c>
      <c r="F29" s="55" t="s">
        <v>12</v>
      </c>
      <c r="G29" s="55" t="s">
        <v>12</v>
      </c>
      <c r="H29" s="26">
        <v>177</v>
      </c>
      <c r="I29" s="55" t="s">
        <v>12</v>
      </c>
      <c r="J29" s="26">
        <v>181</v>
      </c>
      <c r="K29" s="55" t="s">
        <v>12</v>
      </c>
      <c r="L29" s="26">
        <v>191</v>
      </c>
      <c r="M29" s="55" t="s">
        <v>12</v>
      </c>
      <c r="N29" s="56">
        <v>11.9</v>
      </c>
      <c r="O29" s="69">
        <v>4.9000000000000004</v>
      </c>
      <c r="P29" s="56">
        <v>5.3</v>
      </c>
      <c r="Q29" s="69">
        <v>68</v>
      </c>
      <c r="R29" s="56">
        <v>62.5</v>
      </c>
      <c r="S29" s="56">
        <v>59.8</v>
      </c>
      <c r="T29" s="69">
        <v>7.2</v>
      </c>
      <c r="U29" s="56">
        <v>5.7</v>
      </c>
      <c r="V29" s="56">
        <v>5.9</v>
      </c>
      <c r="W29" s="69">
        <v>78</v>
      </c>
      <c r="X29" s="69">
        <v>79.599999999999994</v>
      </c>
      <c r="Y29" s="56">
        <v>81.3</v>
      </c>
      <c r="Z29" s="69">
        <v>15</v>
      </c>
      <c r="AA29" s="69">
        <v>20.5</v>
      </c>
      <c r="AB29" s="69">
        <v>23.2</v>
      </c>
      <c r="AC29" s="81">
        <v>2.2599999999999998</v>
      </c>
      <c r="AD29" s="81">
        <v>2.4300000000000002</v>
      </c>
      <c r="AE29" s="81">
        <v>2.37</v>
      </c>
      <c r="AF29" s="56">
        <v>22.6</v>
      </c>
      <c r="AG29" s="56">
        <v>19.399999999999999</v>
      </c>
      <c r="AH29" s="56">
        <v>19.399999999999999</v>
      </c>
      <c r="AI29" s="69">
        <v>86.4</v>
      </c>
      <c r="AJ29" s="69">
        <v>89.2</v>
      </c>
      <c r="AK29" s="69">
        <v>87.8</v>
      </c>
      <c r="AL29" s="69">
        <v>0</v>
      </c>
      <c r="AM29" s="69">
        <v>1.3</v>
      </c>
      <c r="AN29" s="69">
        <v>1.5</v>
      </c>
      <c r="AO29" s="69">
        <v>2.2999999999999998</v>
      </c>
      <c r="AP29" s="69">
        <v>2.2000000000000002</v>
      </c>
      <c r="AQ29" s="69">
        <v>2.6</v>
      </c>
      <c r="AR29" s="86">
        <v>59</v>
      </c>
      <c r="AS29" s="86">
        <v>-5</v>
      </c>
      <c r="AT29" s="86">
        <v>65</v>
      </c>
      <c r="AU29" s="86">
        <v>-8</v>
      </c>
      <c r="AV29" s="86">
        <v>68</v>
      </c>
      <c r="AW29" s="86">
        <v>-14</v>
      </c>
      <c r="AX29" s="56">
        <v>68.292682926829272</v>
      </c>
      <c r="AY29" s="86">
        <v>-16</v>
      </c>
      <c r="AZ29" s="56">
        <v>70.554765291607396</v>
      </c>
      <c r="BA29" s="56">
        <v>70.798479087452478</v>
      </c>
      <c r="BB29" s="55" t="s">
        <v>12</v>
      </c>
      <c r="BC29" s="56">
        <v>63.636363636363633</v>
      </c>
      <c r="BD29" s="56">
        <v>67.333333333333329</v>
      </c>
      <c r="BE29" s="56"/>
      <c r="BF29" s="56"/>
      <c r="BG29" s="55"/>
      <c r="BH29" s="56">
        <v>85</v>
      </c>
      <c r="BI29" s="56">
        <v>84.8</v>
      </c>
      <c r="BJ29" s="56">
        <v>78.2</v>
      </c>
      <c r="BK29" s="56">
        <v>2.6</v>
      </c>
      <c r="BL29" s="56">
        <v>5.8</v>
      </c>
      <c r="BM29" s="55">
        <v>6.3</v>
      </c>
      <c r="BN29" s="56">
        <v>42.2</v>
      </c>
      <c r="BO29" s="56">
        <v>45.2</v>
      </c>
      <c r="BP29" s="56">
        <v>45.9</v>
      </c>
      <c r="BQ29" s="56" t="s">
        <v>74</v>
      </c>
      <c r="BR29" s="87">
        <v>50.512820512820511</v>
      </c>
      <c r="BS29" s="87">
        <v>53.1</v>
      </c>
      <c r="BT29" s="87">
        <v>55.8</v>
      </c>
      <c r="BU29" s="87">
        <v>24.5</v>
      </c>
      <c r="BV29" s="26">
        <v>34.5</v>
      </c>
      <c r="BW29" s="26">
        <v>39.6</v>
      </c>
      <c r="BX29" s="87">
        <v>7.2</v>
      </c>
      <c r="BY29" s="26">
        <v>16.100000000000001</v>
      </c>
      <c r="BZ29" s="26">
        <v>14.5</v>
      </c>
    </row>
    <row r="30" spans="1:78" s="26" customFormat="1">
      <c r="A30" s="26" t="s">
        <v>148</v>
      </c>
      <c r="B30" s="26" t="s">
        <v>75</v>
      </c>
      <c r="C30" s="35" t="s">
        <v>18</v>
      </c>
      <c r="D30" s="26" t="s">
        <v>87</v>
      </c>
      <c r="E30" s="26" t="s">
        <v>81</v>
      </c>
      <c r="F30" s="55" t="s">
        <v>12</v>
      </c>
      <c r="G30" s="55" t="s">
        <v>12</v>
      </c>
      <c r="H30" s="26">
        <v>191</v>
      </c>
      <c r="I30" s="55" t="s">
        <v>12</v>
      </c>
      <c r="J30" s="26">
        <v>179</v>
      </c>
      <c r="K30" s="55" t="s">
        <v>12</v>
      </c>
      <c r="L30" s="26">
        <v>184</v>
      </c>
      <c r="M30" s="55" t="s">
        <v>12</v>
      </c>
      <c r="N30" s="56">
        <v>-1.7</v>
      </c>
      <c r="O30" s="69">
        <v>4.9000000000000004</v>
      </c>
      <c r="P30" s="56">
        <v>5.3</v>
      </c>
      <c r="Q30" s="69">
        <v>55.9</v>
      </c>
      <c r="R30" s="56">
        <v>62.5</v>
      </c>
      <c r="S30" s="56">
        <v>59.8</v>
      </c>
      <c r="T30" s="69">
        <v>11.7</v>
      </c>
      <c r="U30" s="56">
        <v>5.7</v>
      </c>
      <c r="V30" s="56">
        <v>5.9</v>
      </c>
      <c r="W30" s="69">
        <v>87.6</v>
      </c>
      <c r="X30" s="69">
        <v>79.599999999999994</v>
      </c>
      <c r="Y30" s="56">
        <v>81.3</v>
      </c>
      <c r="Z30" s="69">
        <v>20.399999999999999</v>
      </c>
      <c r="AA30" s="69">
        <v>20.5</v>
      </c>
      <c r="AB30" s="69">
        <v>23.2</v>
      </c>
      <c r="AC30" s="81">
        <v>2.35</v>
      </c>
      <c r="AD30" s="81">
        <v>2.4300000000000002</v>
      </c>
      <c r="AE30" s="89">
        <v>2.37</v>
      </c>
      <c r="AF30" s="56">
        <v>22.4</v>
      </c>
      <c r="AG30" s="56">
        <v>19.399999999999999</v>
      </c>
      <c r="AH30" s="88">
        <v>19.399999999999999</v>
      </c>
      <c r="AI30" s="75">
        <v>86.4</v>
      </c>
      <c r="AJ30" s="75">
        <v>89.2</v>
      </c>
      <c r="AK30" s="75">
        <v>87.8</v>
      </c>
      <c r="AL30" s="75">
        <v>0</v>
      </c>
      <c r="AM30" s="75">
        <v>1.3</v>
      </c>
      <c r="AN30" s="75">
        <v>1.5</v>
      </c>
      <c r="AO30" s="75">
        <v>1.7</v>
      </c>
      <c r="AP30" s="75">
        <v>2.2000000000000002</v>
      </c>
      <c r="AQ30" s="75">
        <v>2.6</v>
      </c>
      <c r="AR30" s="86">
        <v>62</v>
      </c>
      <c r="AS30" s="86">
        <v>-7</v>
      </c>
      <c r="AT30" s="86">
        <v>77</v>
      </c>
      <c r="AU30" s="86">
        <v>-3</v>
      </c>
      <c r="AV30" s="86">
        <v>87</v>
      </c>
      <c r="AW30" s="86">
        <v>-2</v>
      </c>
      <c r="AX30" s="56">
        <v>88.235294117647058</v>
      </c>
      <c r="AY30" s="86">
        <v>-1</v>
      </c>
      <c r="AZ30" s="56">
        <v>70.554765291607396</v>
      </c>
      <c r="BA30" s="56">
        <v>70.798479087452478</v>
      </c>
      <c r="BB30" s="55" t="s">
        <v>12</v>
      </c>
      <c r="BC30" s="56">
        <v>63.636363636363633</v>
      </c>
      <c r="BD30" s="56">
        <v>67.333333333333329</v>
      </c>
      <c r="BE30" s="56"/>
      <c r="BF30" s="56"/>
      <c r="BG30" s="55"/>
      <c r="BH30" s="56">
        <v>87.2</v>
      </c>
      <c r="BI30" s="56">
        <v>84.8</v>
      </c>
      <c r="BJ30" s="56">
        <v>78.2</v>
      </c>
      <c r="BK30" s="56">
        <v>2.9</v>
      </c>
      <c r="BL30" s="56">
        <v>5.8</v>
      </c>
      <c r="BM30" s="55">
        <v>6.3</v>
      </c>
      <c r="BN30" s="56">
        <v>43.3</v>
      </c>
      <c r="BO30" s="56">
        <v>45.2</v>
      </c>
      <c r="BP30" s="56">
        <v>45.9</v>
      </c>
      <c r="BQ30" s="56" t="s">
        <v>75</v>
      </c>
      <c r="BR30" s="87">
        <v>31.284916201117319</v>
      </c>
      <c r="BS30" s="87">
        <v>53.1</v>
      </c>
      <c r="BT30" s="87">
        <v>55.8</v>
      </c>
      <c r="BU30" s="87">
        <v>52.5</v>
      </c>
      <c r="BV30" s="26">
        <v>34.5</v>
      </c>
      <c r="BW30" s="26">
        <v>39.6</v>
      </c>
      <c r="BX30" s="87">
        <v>32.200000000000003</v>
      </c>
      <c r="BY30" s="26">
        <v>16.100000000000001</v>
      </c>
      <c r="BZ30" s="26">
        <v>14.5</v>
      </c>
    </row>
    <row r="31" spans="1:78">
      <c r="W31" s="9"/>
      <c r="AT31" s="63"/>
      <c r="AU31" s="63"/>
      <c r="AV31" s="63"/>
      <c r="AW31" s="63"/>
      <c r="AZ31" s="91"/>
      <c r="BA31" s="91"/>
    </row>
    <row r="32" spans="1:78">
      <c r="W32" s="9"/>
      <c r="AT32" s="63"/>
      <c r="AU32" s="63"/>
      <c r="AV32" s="63"/>
      <c r="AW32" s="63"/>
    </row>
    <row r="33" spans="1:69">
      <c r="AT33" s="63"/>
      <c r="AU33" s="63"/>
      <c r="AV33" s="63"/>
      <c r="AW33" s="63"/>
    </row>
    <row r="34" spans="1:69">
      <c r="AT34" s="63"/>
      <c r="AU34" s="63"/>
      <c r="AV34" s="63"/>
      <c r="AW34" s="63"/>
    </row>
    <row r="35" spans="1:69" s="42" customFormat="1" ht="52.8">
      <c r="F35" s="42" t="s">
        <v>209</v>
      </c>
      <c r="G35" s="42" t="s">
        <v>207</v>
      </c>
      <c r="H35" s="42" t="s">
        <v>53</v>
      </c>
      <c r="I35" s="42" t="s">
        <v>32</v>
      </c>
      <c r="J35" s="42" t="s">
        <v>34</v>
      </c>
      <c r="K35" s="42" t="s">
        <v>54</v>
      </c>
      <c r="L35" s="42" t="s">
        <v>55</v>
      </c>
      <c r="M35" s="42" t="s">
        <v>180</v>
      </c>
      <c r="N35" s="42" t="s">
        <v>33</v>
      </c>
      <c r="AT35" s="70"/>
      <c r="AU35" s="70"/>
      <c r="AV35" s="70"/>
      <c r="AW35" s="70"/>
    </row>
    <row r="36" spans="1:69" s="1" customFormat="1">
      <c r="A36" s="1" t="s">
        <v>129</v>
      </c>
      <c r="B36" s="1" t="s">
        <v>69</v>
      </c>
      <c r="F36" s="44">
        <v>5</v>
      </c>
      <c r="G36" s="44">
        <v>5</v>
      </c>
      <c r="H36" s="44">
        <f>VLOOKUP(B36,[1]lyc!$K$2:$M$11,3,FALSE)</f>
        <v>-0.52325581395348864</v>
      </c>
      <c r="I36" s="44">
        <f>VLOOKUP(B36,[1]lyc!$O$2:$Q$11,3,FALSE)</f>
        <v>-1.2000000000000011</v>
      </c>
      <c r="J36" s="44">
        <v>-0.63636363636363569</v>
      </c>
      <c r="K36" s="44">
        <v>3.9</v>
      </c>
      <c r="L36" s="44">
        <v>0.58295964125560529</v>
      </c>
      <c r="M36" s="44">
        <v>2.5795053003533561</v>
      </c>
      <c r="N36" s="44">
        <v>3.9</v>
      </c>
      <c r="O36" s="44"/>
      <c r="P36" s="44"/>
      <c r="Q36" s="44"/>
      <c r="R36" s="71"/>
      <c r="S36" s="71"/>
      <c r="T36" s="44"/>
      <c r="U36" s="72"/>
      <c r="V36" s="71"/>
      <c r="W36" s="71"/>
      <c r="X36" s="71"/>
      <c r="Y36" s="71"/>
      <c r="Z36" s="71"/>
      <c r="AA36" s="71"/>
      <c r="AB36" s="71"/>
      <c r="AC36" s="71"/>
      <c r="AD36" s="71"/>
      <c r="AE36" s="71"/>
      <c r="AH36" s="71"/>
      <c r="AI36" s="71"/>
      <c r="AJ36" s="71"/>
      <c r="AK36" s="71"/>
      <c r="AL36" s="71"/>
      <c r="AM36" s="71"/>
      <c r="AN36" s="71"/>
      <c r="AO36" s="71"/>
      <c r="AR36" s="71"/>
      <c r="AS36" s="71"/>
      <c r="AT36" s="73"/>
      <c r="AU36" s="73"/>
      <c r="AV36" s="73"/>
      <c r="AW36" s="73"/>
      <c r="AZ36" s="71"/>
      <c r="BA36" s="71"/>
      <c r="BB36" s="71"/>
      <c r="BC36" s="71"/>
      <c r="BD36" s="71"/>
      <c r="BE36" s="71"/>
      <c r="BF36" s="71"/>
      <c r="BG36" s="71"/>
      <c r="BH36" s="71"/>
      <c r="BI36" s="71"/>
      <c r="BJ36" s="71"/>
      <c r="BK36" s="71"/>
      <c r="BL36" s="71"/>
      <c r="BM36" s="71"/>
      <c r="BN36" s="71"/>
      <c r="BO36" s="71"/>
      <c r="BP36" s="71"/>
      <c r="BQ36" s="71"/>
    </row>
    <row r="37" spans="1:69" s="1" customFormat="1">
      <c r="A37" s="1" t="s">
        <v>130</v>
      </c>
      <c r="B37" s="1" t="s">
        <v>35</v>
      </c>
      <c r="F37" s="44">
        <v>5</v>
      </c>
      <c r="G37" s="44">
        <v>-2.7480916030534348</v>
      </c>
      <c r="H37" s="44">
        <f>VLOOKUP(B37,[1]lyc!$K$2:$M$11,3,FALSE)</f>
        <v>0.58139534883720934</v>
      </c>
      <c r="I37" s="44">
        <f>VLOOKUP(B37,[1]lyc!$O$2:$Q$11,3,FALSE)</f>
        <v>2.7999999999999994</v>
      </c>
      <c r="J37" s="44">
        <v>1.2727272727272747</v>
      </c>
      <c r="K37" s="44">
        <v>-6.0060060060060906E-2</v>
      </c>
      <c r="L37" s="44">
        <v>-1.3004484304932735</v>
      </c>
      <c r="M37" s="44">
        <v>-1.6961130742049513</v>
      </c>
      <c r="N37" s="44">
        <v>0.72463768115942029</v>
      </c>
      <c r="O37" s="44"/>
      <c r="P37" s="44"/>
      <c r="Q37" s="44"/>
      <c r="R37" s="71"/>
      <c r="S37" s="71"/>
      <c r="T37" s="44"/>
      <c r="U37" s="72"/>
      <c r="V37" s="71"/>
      <c r="W37" s="71"/>
      <c r="X37" s="71"/>
      <c r="Y37" s="71"/>
      <c r="Z37" s="71"/>
      <c r="AA37" s="71"/>
      <c r="AB37" s="71"/>
      <c r="AC37" s="71"/>
      <c r="AD37" s="71"/>
      <c r="AE37" s="71"/>
      <c r="AH37" s="71"/>
      <c r="AI37" s="71"/>
      <c r="AJ37" s="71"/>
      <c r="AK37" s="71"/>
      <c r="AL37" s="71"/>
      <c r="AM37" s="71"/>
      <c r="AN37" s="71"/>
      <c r="AO37" s="71"/>
      <c r="AR37" s="71"/>
      <c r="AS37" s="71"/>
      <c r="AT37" s="73"/>
      <c r="AU37" s="73"/>
      <c r="AV37" s="73"/>
      <c r="AW37" s="73"/>
      <c r="AZ37" s="71"/>
      <c r="BA37" s="71"/>
      <c r="BB37" s="71"/>
      <c r="BC37" s="71"/>
      <c r="BD37" s="71"/>
      <c r="BE37" s="71"/>
      <c r="BF37" s="71"/>
      <c r="BG37" s="71"/>
      <c r="BH37" s="71"/>
      <c r="BI37" s="71"/>
      <c r="BJ37" s="71"/>
      <c r="BK37" s="71"/>
      <c r="BL37" s="71"/>
      <c r="BM37" s="71"/>
      <c r="BN37" s="71"/>
      <c r="BO37" s="71"/>
      <c r="BP37" s="71"/>
      <c r="BQ37" s="71"/>
    </row>
    <row r="38" spans="1:69" s="1" customFormat="1">
      <c r="A38" s="1" t="s">
        <v>132</v>
      </c>
      <c r="B38" s="1" t="s">
        <v>70</v>
      </c>
      <c r="F38" s="44">
        <v>2.1917808219178081</v>
      </c>
      <c r="G38" s="44">
        <v>4.1475826972010177</v>
      </c>
      <c r="H38" s="44">
        <f>VLOOKUP(B38,[1]lyc!$K$2:$M$11,3,FALSE)</f>
        <v>5</v>
      </c>
      <c r="I38" s="44">
        <f>VLOOKUP(B38,[1]lyc!$O$2:$Q$11,3,FALSE)</f>
        <v>-4.3</v>
      </c>
      <c r="J38" s="44">
        <v>-2.6363636363636349</v>
      </c>
      <c r="K38" s="44">
        <v>2.1</v>
      </c>
      <c r="L38" s="44">
        <v>-0.13452914798206289</v>
      </c>
      <c r="M38" s="44">
        <v>5</v>
      </c>
      <c r="N38" s="44">
        <v>-1.6811594202898583</v>
      </c>
      <c r="O38" s="44"/>
      <c r="P38" s="44"/>
      <c r="Q38" s="44"/>
      <c r="R38" s="71"/>
      <c r="S38" s="71"/>
      <c r="T38" s="44"/>
      <c r="U38" s="72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H38" s="71"/>
      <c r="AI38" s="71"/>
      <c r="AJ38" s="71"/>
      <c r="AK38" s="71"/>
      <c r="AL38" s="71"/>
      <c r="AM38" s="71"/>
      <c r="AN38" s="71"/>
      <c r="AO38" s="71"/>
      <c r="AR38" s="71"/>
      <c r="AS38" s="71"/>
      <c r="AT38" s="73"/>
      <c r="AU38" s="73"/>
      <c r="AV38" s="73"/>
      <c r="AW38" s="73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1"/>
      <c r="BM38" s="71"/>
      <c r="BN38" s="71"/>
      <c r="BO38" s="71"/>
      <c r="BP38" s="71"/>
      <c r="BQ38" s="71"/>
    </row>
    <row r="39" spans="1:69" s="1" customFormat="1">
      <c r="A39" s="1" t="s">
        <v>141</v>
      </c>
      <c r="B39" s="1" t="s">
        <v>65</v>
      </c>
      <c r="F39" s="44">
        <v>2.1917808219178081</v>
      </c>
      <c r="G39" s="44">
        <v>-4.5999999999999996</v>
      </c>
      <c r="H39" s="44">
        <f>VLOOKUP(B39,[1]lyc!$K$2:$M$11,3,FALSE)</f>
        <v>-4.5999999999999996</v>
      </c>
      <c r="I39" s="44">
        <f>VLOOKUP(B39,[1]lyc!$O$2:$Q$11,3,FALSE)</f>
        <v>1.3333333333333315</v>
      </c>
      <c r="J39" s="44">
        <v>1.2727272727272747</v>
      </c>
      <c r="K39" s="44">
        <v>-5</v>
      </c>
      <c r="L39" s="44">
        <v>-5</v>
      </c>
      <c r="M39" s="44">
        <v>-5</v>
      </c>
      <c r="N39" s="44">
        <v>-4.3768115942029011</v>
      </c>
      <c r="O39" s="74"/>
      <c r="P39" s="44"/>
      <c r="Q39" s="44"/>
      <c r="R39" s="71"/>
      <c r="S39" s="71"/>
      <c r="T39" s="74"/>
      <c r="U39" s="72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H39" s="71"/>
      <c r="AI39" s="71"/>
      <c r="AJ39" s="71"/>
      <c r="AK39" s="71"/>
      <c r="AL39" s="71"/>
      <c r="AM39" s="71"/>
      <c r="AN39" s="71"/>
      <c r="AO39" s="71"/>
      <c r="AR39" s="71"/>
      <c r="AS39" s="71"/>
      <c r="AT39" s="73"/>
      <c r="AU39" s="73"/>
      <c r="AV39" s="73"/>
      <c r="AW39" s="73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1"/>
      <c r="BM39" s="71"/>
      <c r="BN39" s="71"/>
      <c r="BO39" s="71"/>
      <c r="BP39" s="71"/>
      <c r="BQ39" s="71"/>
    </row>
    <row r="40" spans="1:69" s="1" customFormat="1">
      <c r="A40" s="1" t="s">
        <v>144</v>
      </c>
      <c r="B40" s="1" t="s">
        <v>68</v>
      </c>
      <c r="F40" s="44">
        <v>-5</v>
      </c>
      <c r="G40" s="44">
        <v>-5</v>
      </c>
      <c r="H40" s="44">
        <f>VLOOKUP(B40,[1]lyc!$K$2:$M$11,3,FALSE)</f>
        <v>-5</v>
      </c>
      <c r="I40" s="44">
        <f>VLOOKUP(B40,[1]lyc!$O$2:$Q$11,3,FALSE)</f>
        <v>4.5999999999999996</v>
      </c>
      <c r="J40" s="44">
        <v>4.5</v>
      </c>
      <c r="K40" s="44">
        <v>-2.0720720720720736</v>
      </c>
      <c r="L40" s="44">
        <v>0.26905829596412562</v>
      </c>
      <c r="M40" s="44">
        <v>3.7</v>
      </c>
      <c r="N40" s="44">
        <v>-5</v>
      </c>
      <c r="O40" s="74"/>
      <c r="P40" s="44"/>
      <c r="Q40" s="44"/>
      <c r="R40" s="71"/>
      <c r="S40" s="71"/>
      <c r="T40" s="74"/>
      <c r="U40" s="72"/>
      <c r="V40" s="71"/>
      <c r="W40" s="71"/>
      <c r="X40" s="71"/>
      <c r="Y40" s="71"/>
      <c r="Z40" s="71"/>
      <c r="AA40" s="71"/>
      <c r="AB40" s="71"/>
      <c r="AC40" s="71"/>
      <c r="AD40" s="71"/>
      <c r="AE40" s="71"/>
      <c r="AH40" s="71"/>
      <c r="AI40" s="71"/>
      <c r="AJ40" s="71"/>
      <c r="AK40" s="71"/>
      <c r="AL40" s="71"/>
      <c r="AM40" s="71"/>
      <c r="AN40" s="71"/>
      <c r="AO40" s="71"/>
      <c r="AR40" s="71"/>
      <c r="AS40" s="71"/>
      <c r="AT40" s="73"/>
      <c r="AU40" s="73"/>
      <c r="AV40" s="73"/>
      <c r="AW40" s="73"/>
      <c r="AZ40" s="71"/>
      <c r="BA40" s="71"/>
      <c r="BB40" s="71"/>
      <c r="BC40" s="71"/>
      <c r="BD40" s="71"/>
      <c r="BE40" s="71"/>
      <c r="BF40" s="71"/>
      <c r="BG40" s="71"/>
      <c r="BH40" s="71"/>
      <c r="BI40" s="71"/>
      <c r="BJ40" s="71"/>
      <c r="BK40" s="71"/>
      <c r="BL40" s="71"/>
      <c r="BM40" s="71"/>
      <c r="BN40" s="71"/>
      <c r="BO40" s="71"/>
      <c r="BP40" s="71"/>
      <c r="BQ40" s="71"/>
    </row>
    <row r="41" spans="1:69" s="1" customFormat="1">
      <c r="A41" s="1" t="s">
        <v>145</v>
      </c>
      <c r="B41" s="1" t="s">
        <v>71</v>
      </c>
      <c r="F41" s="44">
        <v>1.415525114155251</v>
      </c>
      <c r="G41" s="44">
        <v>-2.7735368956743018</v>
      </c>
      <c r="H41" s="44">
        <f>VLOOKUP(B41,[1]lyc!$K$2:$M$11,3,FALSE)</f>
        <v>-2.7906976744186038</v>
      </c>
      <c r="I41" s="44">
        <f>VLOOKUP(B41,[1]lyc!$O$2:$Q$11,3,FALSE)</f>
        <v>-0.26666666666666689</v>
      </c>
      <c r="J41" s="44">
        <v>-0.90909090909090906</v>
      </c>
      <c r="K41" s="44">
        <v>5</v>
      </c>
      <c r="L41" s="44">
        <v>0.67264573991031384</v>
      </c>
      <c r="M41" s="44">
        <v>-2.8975265017667859</v>
      </c>
      <c r="N41" s="44">
        <v>-2.2028985507246404</v>
      </c>
      <c r="O41" s="44"/>
      <c r="P41" s="44"/>
      <c r="Q41" s="44"/>
      <c r="R41" s="71"/>
      <c r="S41" s="71"/>
      <c r="T41" s="44"/>
      <c r="U41" s="72"/>
      <c r="V41" s="71"/>
      <c r="W41" s="71"/>
      <c r="X41" s="71"/>
      <c r="Y41" s="71"/>
      <c r="Z41" s="71"/>
      <c r="AA41" s="71"/>
      <c r="AB41" s="71"/>
      <c r="AC41" s="71"/>
      <c r="AD41" s="71"/>
      <c r="AE41" s="71"/>
      <c r="AH41" s="71"/>
      <c r="AI41" s="71"/>
      <c r="AJ41" s="71"/>
      <c r="AK41" s="71"/>
      <c r="AL41" s="71"/>
      <c r="AM41" s="71"/>
      <c r="AN41" s="71"/>
      <c r="AO41" s="71"/>
      <c r="AR41" s="71"/>
      <c r="AS41" s="71"/>
      <c r="AT41" s="73"/>
      <c r="AU41" s="73"/>
      <c r="AV41" s="73"/>
      <c r="AW41" s="73"/>
      <c r="AZ41" s="71"/>
      <c r="BA41" s="71"/>
      <c r="BB41" s="71"/>
      <c r="BC41" s="71"/>
      <c r="BD41" s="71"/>
      <c r="BE41" s="71"/>
      <c r="BF41" s="71"/>
      <c r="BG41" s="71"/>
      <c r="BH41" s="71"/>
      <c r="BI41" s="71"/>
      <c r="BJ41" s="71"/>
      <c r="BK41" s="71"/>
      <c r="BL41" s="71"/>
      <c r="BM41" s="71"/>
      <c r="BN41" s="71"/>
      <c r="BO41" s="71"/>
      <c r="BP41" s="71"/>
      <c r="BQ41" s="71"/>
    </row>
    <row r="42" spans="1:69" s="1" customFormat="1">
      <c r="A42" s="1" t="s">
        <v>146</v>
      </c>
      <c r="B42" s="1" t="s">
        <v>72</v>
      </c>
      <c r="F42" s="44">
        <v>-3.1963470319634699</v>
      </c>
      <c r="G42" s="44">
        <v>-4.8</v>
      </c>
      <c r="H42" s="44">
        <f>VLOOKUP(B42,[1]lyc!$K$2:$M$11,3,FALSE)</f>
        <v>3.7</v>
      </c>
      <c r="I42" s="44">
        <f>VLOOKUP(B42,[1]lyc!$O$2:$Q$11,3,FALSE)</f>
        <v>5</v>
      </c>
      <c r="J42" s="44">
        <v>5</v>
      </c>
      <c r="K42" s="44">
        <v>-1.1411411411411445</v>
      </c>
      <c r="L42" s="44">
        <v>-0.179372197309417</v>
      </c>
      <c r="M42" s="44">
        <v>-3.9</v>
      </c>
      <c r="N42" s="44">
        <v>1.5072463768115909</v>
      </c>
      <c r="O42" s="44"/>
      <c r="P42" s="44"/>
      <c r="Q42" s="44"/>
      <c r="R42" s="71"/>
      <c r="S42" s="71"/>
      <c r="T42" s="44"/>
      <c r="U42" s="72"/>
      <c r="V42" s="71"/>
      <c r="W42" s="71"/>
      <c r="X42" s="71"/>
      <c r="Y42" s="71"/>
      <c r="Z42" s="71"/>
      <c r="AA42" s="71"/>
      <c r="AB42" s="71"/>
      <c r="AC42" s="71"/>
      <c r="AD42" s="71"/>
      <c r="AE42" s="71"/>
      <c r="AH42" s="71"/>
      <c r="AI42" s="71"/>
      <c r="AJ42" s="71"/>
      <c r="AK42" s="71"/>
      <c r="AL42" s="71"/>
      <c r="AM42" s="71"/>
      <c r="AN42" s="71"/>
      <c r="AO42" s="71"/>
      <c r="AR42" s="71"/>
      <c r="AS42" s="71"/>
      <c r="AT42" s="73"/>
      <c r="AU42" s="73"/>
      <c r="AV42" s="73"/>
      <c r="AW42" s="73"/>
      <c r="AZ42" s="71"/>
      <c r="BA42" s="71"/>
      <c r="BB42" s="71"/>
      <c r="BC42" s="71"/>
      <c r="BD42" s="71"/>
      <c r="BE42" s="71"/>
      <c r="BF42" s="71"/>
      <c r="BG42" s="71"/>
      <c r="BH42" s="71"/>
      <c r="BI42" s="71"/>
      <c r="BJ42" s="71"/>
      <c r="BK42" s="71"/>
      <c r="BL42" s="71"/>
      <c r="BM42" s="71"/>
      <c r="BN42" s="71"/>
      <c r="BO42" s="71"/>
      <c r="BP42" s="71"/>
      <c r="BQ42" s="71"/>
    </row>
    <row r="43" spans="1:69" s="1" customFormat="1">
      <c r="A43" s="1" t="s">
        <v>147</v>
      </c>
      <c r="B43" s="1" t="s">
        <v>73</v>
      </c>
      <c r="F43" s="44">
        <v>3.2</v>
      </c>
      <c r="G43" s="44">
        <v>-1.1195928753180677</v>
      </c>
      <c r="H43" s="44">
        <f>VLOOKUP(B43,[1]lyc!$K$2:$M$11,3,FALSE)</f>
        <v>0.17441860465116321</v>
      </c>
      <c r="I43" s="44">
        <f>VLOOKUP(B43,[1]lyc!$O$2:$Q$11,3,FALSE)</f>
        <v>-5</v>
      </c>
      <c r="J43" s="44">
        <v>-5</v>
      </c>
      <c r="K43" s="44">
        <v>4.5</v>
      </c>
      <c r="L43" s="44">
        <v>2.2999999999999998</v>
      </c>
      <c r="M43" s="44">
        <v>-1.6254416961130773</v>
      </c>
      <c r="N43" s="44">
        <v>5</v>
      </c>
      <c r="O43" s="44"/>
      <c r="P43" s="44"/>
      <c r="Q43" s="44"/>
      <c r="R43" s="71"/>
      <c r="S43" s="71"/>
      <c r="T43" s="44"/>
      <c r="U43" s="72"/>
      <c r="V43" s="71"/>
      <c r="W43" s="71"/>
      <c r="X43" s="71"/>
      <c r="Y43" s="71"/>
      <c r="Z43" s="71"/>
      <c r="AA43" s="71"/>
      <c r="AB43" s="71"/>
      <c r="AC43" s="71"/>
      <c r="AD43" s="71"/>
      <c r="AE43" s="71"/>
      <c r="AH43" s="71"/>
      <c r="AI43" s="71"/>
      <c r="AJ43" s="71"/>
      <c r="AK43" s="71"/>
      <c r="AL43" s="71"/>
      <c r="AM43" s="71"/>
      <c r="AN43" s="71"/>
      <c r="AO43" s="71"/>
      <c r="AR43" s="71"/>
      <c r="AS43" s="71"/>
      <c r="AT43" s="73"/>
      <c r="AU43" s="73"/>
      <c r="AV43" s="73"/>
      <c r="AW43" s="73"/>
      <c r="AZ43" s="71"/>
      <c r="BA43" s="71"/>
      <c r="BB43" s="71"/>
      <c r="BC43" s="71"/>
      <c r="BD43" s="71"/>
      <c r="BE43" s="71"/>
      <c r="BF43" s="71"/>
      <c r="BG43" s="71"/>
      <c r="BH43" s="71"/>
      <c r="BI43" s="71"/>
      <c r="BJ43" s="71"/>
      <c r="BK43" s="71"/>
      <c r="BL43" s="71"/>
      <c r="BM43" s="71"/>
      <c r="BN43" s="71"/>
      <c r="BO43" s="71"/>
      <c r="BP43" s="71"/>
      <c r="BQ43" s="71"/>
    </row>
    <row r="44" spans="1:69" s="1" customFormat="1">
      <c r="A44" s="1" t="s">
        <v>149</v>
      </c>
      <c r="B44" s="1" t="s">
        <v>74</v>
      </c>
      <c r="F44" s="44">
        <v>-4.0182648401826482</v>
      </c>
      <c r="G44" s="44">
        <v>-0.78880407124682161</v>
      </c>
      <c r="H44" s="44">
        <f>VLOOKUP(B44,[1]lyc!$K$2:$M$11,3,FALSE)</f>
        <v>0.11627906976744248</v>
      </c>
      <c r="I44" s="44">
        <f>VLOOKUP(B44,[1]lyc!$O$2:$Q$11,3,FALSE)</f>
        <v>4.7</v>
      </c>
      <c r="J44" s="44">
        <v>3.5454545454545472</v>
      </c>
      <c r="K44" s="44">
        <v>-0.87087087087087245</v>
      </c>
      <c r="L44" s="44">
        <v>5</v>
      </c>
      <c r="M44" s="44">
        <v>-0.3180212014134296</v>
      </c>
      <c r="N44" s="44">
        <v>-0.26086956521739296</v>
      </c>
      <c r="O44" s="74"/>
      <c r="P44" s="44"/>
      <c r="Q44" s="44"/>
      <c r="R44" s="71"/>
      <c r="S44" s="71"/>
      <c r="T44" s="74"/>
      <c r="U44" s="72"/>
      <c r="V44" s="71"/>
      <c r="W44" s="71"/>
      <c r="X44" s="71"/>
      <c r="Y44" s="71"/>
      <c r="Z44" s="71"/>
      <c r="AA44" s="71"/>
      <c r="AB44" s="71"/>
      <c r="AC44" s="71"/>
      <c r="AD44" s="71"/>
      <c r="AE44" s="71"/>
      <c r="AH44" s="71"/>
      <c r="AI44" s="71"/>
      <c r="AJ44" s="71"/>
      <c r="AK44" s="71"/>
      <c r="AL44" s="71"/>
      <c r="AM44" s="71"/>
      <c r="AN44" s="71"/>
      <c r="AO44" s="71"/>
      <c r="AR44" s="71"/>
      <c r="AS44" s="71"/>
      <c r="AT44" s="73"/>
      <c r="AU44" s="73"/>
      <c r="AV44" s="73"/>
      <c r="AW44" s="73"/>
      <c r="AZ44" s="71"/>
      <c r="BA44" s="71"/>
      <c r="BB44" s="71"/>
      <c r="BC44" s="71"/>
      <c r="BD44" s="71"/>
      <c r="BE44" s="71"/>
      <c r="BF44" s="71"/>
      <c r="BG44" s="71"/>
      <c r="BH44" s="71"/>
      <c r="BI44" s="71"/>
      <c r="BJ44" s="71"/>
      <c r="BK44" s="71"/>
      <c r="BL44" s="71"/>
      <c r="BM44" s="71"/>
      <c r="BN44" s="71"/>
      <c r="BO44" s="71"/>
      <c r="BP44" s="71"/>
      <c r="BQ44" s="71"/>
    </row>
    <row r="45" spans="1:69" s="1" customFormat="1">
      <c r="A45" s="1" t="s">
        <v>148</v>
      </c>
      <c r="B45" s="1" t="s">
        <v>75</v>
      </c>
      <c r="F45" s="44">
        <v>2.1917808219178081</v>
      </c>
      <c r="G45" s="44">
        <v>-1.3486005089058517</v>
      </c>
      <c r="H45" s="44">
        <f>VLOOKUP(B45,[1]lyc!$K$2:$M$11,3,FALSE)</f>
        <v>2.7</v>
      </c>
      <c r="I45" s="44">
        <f>VLOOKUP(B45,[1]lyc!$O$2:$Q$11,3,FALSE)</f>
        <v>0.26666666666666689</v>
      </c>
      <c r="J45" s="44">
        <v>1.1818181818181825</v>
      </c>
      <c r="K45" s="44">
        <v>-0.690690690690694</v>
      </c>
      <c r="L45" s="44">
        <v>0.7623318385650224</v>
      </c>
      <c r="M45" s="44">
        <v>0.95406360424027881</v>
      </c>
      <c r="N45" s="44">
        <v>0.37681159420289773</v>
      </c>
      <c r="O45" s="74"/>
      <c r="P45" s="44"/>
      <c r="Q45" s="44"/>
      <c r="R45" s="71"/>
      <c r="S45" s="71"/>
      <c r="T45" s="74"/>
      <c r="U45" s="72"/>
      <c r="V45" s="71"/>
      <c r="W45" s="71"/>
      <c r="X45" s="71"/>
      <c r="Y45" s="71"/>
      <c r="Z45" s="71"/>
      <c r="AA45" s="71"/>
      <c r="AB45" s="71"/>
      <c r="AC45" s="71"/>
      <c r="AD45" s="71"/>
      <c r="AE45" s="71"/>
      <c r="AH45" s="71"/>
      <c r="AI45" s="71"/>
      <c r="AJ45" s="71"/>
      <c r="AK45" s="71"/>
      <c r="AL45" s="71"/>
      <c r="AM45" s="71"/>
      <c r="AN45" s="71"/>
      <c r="AO45" s="71"/>
      <c r="AR45" s="71"/>
      <c r="AS45" s="71"/>
      <c r="AT45" s="73"/>
      <c r="AU45" s="73"/>
      <c r="AV45" s="73"/>
      <c r="AW45" s="73"/>
      <c r="AZ45" s="71"/>
      <c r="BA45" s="71"/>
      <c r="BB45" s="71"/>
      <c r="BC45" s="71"/>
      <c r="BD45" s="71"/>
      <c r="BE45" s="71"/>
      <c r="BF45" s="71"/>
      <c r="BG45" s="71"/>
      <c r="BH45" s="71"/>
      <c r="BI45" s="71"/>
      <c r="BJ45" s="71"/>
      <c r="BK45" s="71"/>
      <c r="BL45" s="71"/>
      <c r="BM45" s="71"/>
      <c r="BN45" s="71"/>
      <c r="BO45" s="71"/>
      <c r="BP45" s="71"/>
      <c r="BQ45" s="71"/>
    </row>
    <row r="46" spans="1:69" s="30" customFormat="1">
      <c r="F46" s="1"/>
      <c r="G46" s="1"/>
      <c r="H46" s="1"/>
      <c r="I46" s="1"/>
      <c r="J46" s="1"/>
      <c r="K46" s="1"/>
      <c r="L46" s="1"/>
      <c r="M46" s="1"/>
      <c r="N46" s="1"/>
      <c r="O46" s="71"/>
      <c r="P46" s="71"/>
      <c r="Q46" s="71"/>
      <c r="R46" s="71"/>
      <c r="S46" s="71"/>
      <c r="T46" s="71"/>
      <c r="U46" s="71"/>
      <c r="V46" s="71"/>
      <c r="W46" s="71"/>
      <c r="X46" s="71"/>
      <c r="Y46" s="71"/>
      <c r="Z46" s="71"/>
      <c r="AA46" s="71"/>
      <c r="AB46" s="71"/>
      <c r="AC46" s="71"/>
      <c r="AD46" s="71"/>
      <c r="AE46" s="71"/>
      <c r="AF46" s="71"/>
      <c r="AG46" s="71"/>
      <c r="AH46" s="71"/>
      <c r="AI46" s="71"/>
      <c r="AJ46" s="71"/>
      <c r="AK46" s="71"/>
      <c r="AL46" s="71"/>
      <c r="AM46" s="71"/>
      <c r="AN46" s="71"/>
      <c r="AO46" s="71"/>
      <c r="AP46" s="71"/>
      <c r="AQ46" s="71"/>
      <c r="AR46" s="71"/>
      <c r="AS46" s="71"/>
      <c r="AT46" s="73"/>
      <c r="AU46" s="73"/>
      <c r="AV46" s="73"/>
      <c r="AW46" s="73"/>
      <c r="AX46" s="71"/>
      <c r="AY46" s="71"/>
      <c r="AZ46" s="71"/>
      <c r="BA46" s="71"/>
      <c r="BB46" s="71"/>
      <c r="BC46" s="71"/>
      <c r="BD46" s="71"/>
      <c r="BE46" s="71"/>
      <c r="BF46" s="71"/>
      <c r="BG46" s="71"/>
      <c r="BH46" s="71"/>
      <c r="BI46" s="71"/>
      <c r="BJ46" s="71"/>
      <c r="BK46" s="71"/>
      <c r="BL46" s="71"/>
      <c r="BM46" s="71"/>
      <c r="BN46" s="71"/>
      <c r="BO46" s="71"/>
      <c r="BP46" s="71"/>
      <c r="BQ46" s="71"/>
    </row>
    <row r="47" spans="1:69" s="30" customFormat="1">
      <c r="F47" s="1"/>
      <c r="G47" s="1"/>
      <c r="H47" s="1"/>
      <c r="I47" s="1"/>
      <c r="J47" s="1"/>
      <c r="K47" s="1"/>
      <c r="L47" s="1"/>
      <c r="M47" s="1"/>
      <c r="N47" s="1"/>
      <c r="O47" s="71"/>
      <c r="P47" s="71"/>
      <c r="Q47" s="71"/>
      <c r="R47" s="71"/>
      <c r="S47" s="71"/>
      <c r="T47" s="71"/>
      <c r="U47" s="71"/>
      <c r="V47" s="71"/>
      <c r="W47" s="71"/>
      <c r="X47" s="71"/>
      <c r="Y47" s="71"/>
      <c r="Z47" s="71"/>
      <c r="AA47" s="71"/>
      <c r="AB47" s="71"/>
      <c r="AC47" s="71"/>
      <c r="AD47" s="71"/>
      <c r="AE47" s="71"/>
      <c r="AF47" s="71"/>
      <c r="AG47" s="71"/>
      <c r="AH47" s="71"/>
      <c r="AI47" s="71"/>
      <c r="AJ47" s="71"/>
      <c r="AK47" s="71"/>
      <c r="AL47" s="71"/>
      <c r="AM47" s="71"/>
      <c r="AN47" s="71"/>
      <c r="AO47" s="71"/>
      <c r="AP47" s="71"/>
      <c r="AQ47" s="71"/>
      <c r="AR47" s="71"/>
      <c r="AS47" s="71"/>
      <c r="AT47" s="73"/>
      <c r="AU47" s="73"/>
      <c r="AV47" s="73"/>
      <c r="AW47" s="73"/>
      <c r="AX47" s="71"/>
      <c r="AY47" s="71"/>
      <c r="AZ47" s="71"/>
      <c r="BA47" s="71"/>
      <c r="BB47" s="71"/>
      <c r="BC47" s="71"/>
      <c r="BD47" s="71"/>
      <c r="BE47" s="71"/>
      <c r="BF47" s="71"/>
      <c r="BG47" s="71"/>
      <c r="BH47" s="71"/>
      <c r="BI47" s="71"/>
      <c r="BJ47" s="71"/>
      <c r="BK47" s="71"/>
      <c r="BL47" s="71"/>
      <c r="BM47" s="71"/>
      <c r="BN47" s="71"/>
      <c r="BO47" s="71"/>
      <c r="BP47" s="71"/>
      <c r="BQ47" s="71"/>
    </row>
    <row r="48" spans="1:69" s="30" customFormat="1">
      <c r="F48" s="1"/>
      <c r="G48" s="1"/>
      <c r="H48" s="1"/>
      <c r="I48" s="1"/>
      <c r="J48" s="1"/>
      <c r="K48" s="1"/>
      <c r="L48" s="1"/>
      <c r="M48" s="1"/>
      <c r="N48" s="1"/>
      <c r="O48" s="71"/>
      <c r="P48" s="71"/>
      <c r="Q48" s="71"/>
      <c r="R48" s="71"/>
      <c r="S48" s="71"/>
      <c r="T48" s="71"/>
      <c r="U48" s="71"/>
      <c r="V48" s="71"/>
      <c r="W48" s="71"/>
      <c r="X48" s="71"/>
      <c r="Y48" s="71"/>
      <c r="Z48" s="71"/>
      <c r="AA48" s="71"/>
      <c r="AB48" s="71"/>
      <c r="AC48" s="71"/>
      <c r="AD48" s="71"/>
      <c r="AE48" s="71"/>
      <c r="AF48" s="71"/>
      <c r="AG48" s="71"/>
      <c r="AH48" s="71"/>
      <c r="AI48" s="71"/>
      <c r="AJ48" s="71"/>
      <c r="AK48" s="71"/>
      <c r="AL48" s="71"/>
      <c r="AM48" s="71"/>
      <c r="AN48" s="71"/>
      <c r="AO48" s="71"/>
      <c r="AP48" s="71"/>
      <c r="AQ48" s="71"/>
      <c r="AR48" s="71"/>
      <c r="AS48" s="71"/>
      <c r="AT48" s="73"/>
      <c r="AU48" s="73"/>
      <c r="AV48" s="73"/>
      <c r="AW48" s="73"/>
      <c r="AX48" s="71"/>
      <c r="AY48" s="71"/>
      <c r="AZ48" s="71"/>
      <c r="BA48" s="71"/>
      <c r="BB48" s="71"/>
      <c r="BC48" s="71"/>
      <c r="BD48" s="71"/>
      <c r="BE48" s="71"/>
      <c r="BF48" s="71"/>
      <c r="BG48" s="71"/>
      <c r="BH48" s="71"/>
      <c r="BI48" s="71"/>
      <c r="BJ48" s="71"/>
      <c r="BK48" s="71"/>
      <c r="BL48" s="71"/>
      <c r="BM48" s="71"/>
      <c r="BN48" s="71"/>
      <c r="BO48" s="71"/>
      <c r="BP48" s="71"/>
      <c r="BQ48" s="71"/>
    </row>
    <row r="49" spans="1:69" s="42" customFormat="1" ht="52.8">
      <c r="F49" s="42" t="s">
        <v>209</v>
      </c>
      <c r="G49" s="42" t="s">
        <v>207</v>
      </c>
      <c r="H49" s="42" t="s">
        <v>53</v>
      </c>
      <c r="I49" s="42" t="s">
        <v>32</v>
      </c>
      <c r="J49" s="42" t="s">
        <v>34</v>
      </c>
      <c r="K49" s="42" t="s">
        <v>193</v>
      </c>
      <c r="L49" s="42" t="s">
        <v>194</v>
      </c>
      <c r="M49" s="42" t="s">
        <v>195</v>
      </c>
      <c r="N49" s="42" t="s">
        <v>33</v>
      </c>
      <c r="AT49" s="70"/>
      <c r="AU49" s="70"/>
      <c r="AV49" s="70"/>
      <c r="AW49" s="70"/>
    </row>
    <row r="50" spans="1:69" s="1" customFormat="1">
      <c r="A50" s="1" t="s">
        <v>131</v>
      </c>
      <c r="B50" s="1" t="s">
        <v>58</v>
      </c>
      <c r="C50" s="44"/>
      <c r="F50" s="44">
        <v>5</v>
      </c>
      <c r="G50" s="44">
        <f>VLOOKUP(B50,[1]lyc!$G$17:$I$32,3,FALSE)</f>
        <v>-0.14545454545454237</v>
      </c>
      <c r="H50" s="44">
        <f>VLOOKUP(B50,[1]lyc!$K$17:$M$32,3,FALSE)</f>
        <v>1.125</v>
      </c>
      <c r="I50" s="44">
        <f>VLOOKUP(B50,[1]lyc!$O$17:$Q$32,3,FALSE)</f>
        <v>-0.86956521739130521</v>
      </c>
      <c r="J50" s="44">
        <f>VLOOKUP(B50,[1]lyc!$S$17:$U$32,3,FALSE)</f>
        <v>-0.89041095890411015</v>
      </c>
      <c r="K50" s="44">
        <f>VLOOKUP(B50,[1]lyc!$W$17:$Y$32,3,FALSE)</f>
        <v>-0.41284403669724384</v>
      </c>
      <c r="L50" s="44">
        <f>VLOOKUP(B50,[1]lyc!$AA$17:$AC$32,3,FALSE)</f>
        <v>0.24000000000000021</v>
      </c>
      <c r="M50" s="44">
        <f>VLOOKUP(B50,[1]lyc!$AE$17:$AG$32,3,FALSE)</f>
        <v>0.19323671497584469</v>
      </c>
      <c r="N50" s="44">
        <v>5</v>
      </c>
      <c r="O50" s="71"/>
      <c r="P50" s="71"/>
      <c r="Q50" s="71"/>
      <c r="T50" s="44"/>
      <c r="U50" s="72"/>
      <c r="V50" s="71"/>
      <c r="W50" s="71"/>
      <c r="X50" s="71"/>
      <c r="Y50" s="71"/>
      <c r="Z50" s="71"/>
      <c r="AA50" s="71"/>
      <c r="AB50" s="71"/>
      <c r="AC50" s="71"/>
      <c r="AD50" s="71"/>
      <c r="AE50" s="71"/>
      <c r="AH50" s="71"/>
      <c r="AI50" s="71"/>
      <c r="AJ50" s="71"/>
      <c r="AK50" s="71"/>
      <c r="AL50" s="71"/>
      <c r="AM50" s="71"/>
      <c r="AN50" s="71"/>
      <c r="AO50" s="71"/>
      <c r="AR50" s="71"/>
      <c r="AS50" s="71"/>
      <c r="AT50" s="73"/>
      <c r="AU50" s="73"/>
      <c r="AV50" s="73"/>
      <c r="AW50" s="73"/>
      <c r="AX50" s="44"/>
      <c r="AY50" s="44"/>
      <c r="AZ50" s="71"/>
      <c r="BA50" s="71"/>
      <c r="BB50" s="71"/>
      <c r="BC50" s="71"/>
      <c r="BD50" s="71"/>
      <c r="BE50" s="71"/>
      <c r="BF50" s="71"/>
      <c r="BG50" s="71"/>
      <c r="BH50" s="71"/>
      <c r="BI50" s="71"/>
      <c r="BJ50" s="71"/>
      <c r="BK50" s="71"/>
      <c r="BL50" s="71"/>
      <c r="BM50" s="71"/>
      <c r="BN50" s="71"/>
      <c r="BO50" s="71"/>
      <c r="BP50" s="71"/>
      <c r="BQ50" s="71"/>
    </row>
    <row r="51" spans="1:69" s="1" customFormat="1">
      <c r="A51" s="1" t="s">
        <v>133</v>
      </c>
      <c r="B51" s="1" t="s">
        <v>59</v>
      </c>
      <c r="C51" s="44"/>
      <c r="F51" s="44">
        <v>2.4475524475524475</v>
      </c>
      <c r="G51" s="44">
        <f>VLOOKUP(B51,[1]lyc!$G$17:$I$32,3,FALSE)</f>
        <v>3.7</v>
      </c>
      <c r="H51" s="44">
        <f>VLOOKUP(B51,[1]lyc!$K$17:$M$32,3,FALSE)</f>
        <v>0.20000000000000018</v>
      </c>
      <c r="I51" s="44">
        <f>VLOOKUP(B51,[1]lyc!$O$17:$Q$32,3,FALSE)</f>
        <v>-3.2</v>
      </c>
      <c r="J51" s="44">
        <f>VLOOKUP(B51,[1]lyc!$S$17:$U$32,3,FALSE)</f>
        <v>-3.3</v>
      </c>
      <c r="K51" s="44">
        <f>VLOOKUP(B51,[1]lyc!$W$17:$Y$32,3,FALSE)</f>
        <v>2.8</v>
      </c>
      <c r="L51" s="44">
        <f>VLOOKUP(B51,[1]lyc!$AA$17:$AC$32,3,FALSE)</f>
        <v>0.7200000000000002</v>
      </c>
      <c r="M51" s="44">
        <f>VLOOKUP(B51,[1]lyc!$AE$17:$AG$32,3,FALSE)</f>
        <v>0.41062801932367216</v>
      </c>
      <c r="N51" s="44">
        <v>-3.9</v>
      </c>
      <c r="O51" s="71"/>
      <c r="P51" s="71"/>
      <c r="Q51" s="71"/>
      <c r="T51" s="44"/>
      <c r="U51" s="72"/>
      <c r="V51" s="71"/>
      <c r="W51" s="71"/>
      <c r="X51" s="71"/>
      <c r="Y51" s="71"/>
      <c r="Z51" s="71"/>
      <c r="AA51" s="71"/>
      <c r="AB51" s="71"/>
      <c r="AC51" s="71"/>
      <c r="AD51" s="71"/>
      <c r="AE51" s="71"/>
      <c r="AH51" s="71"/>
      <c r="AI51" s="71"/>
      <c r="AJ51" s="71"/>
      <c r="AK51" s="71"/>
      <c r="AL51" s="71"/>
      <c r="AM51" s="71"/>
      <c r="AN51" s="71"/>
      <c r="AO51" s="71"/>
      <c r="AR51" s="71"/>
      <c r="AS51" s="71"/>
      <c r="AT51" s="73"/>
      <c r="AU51" s="73"/>
      <c r="AV51" s="73"/>
      <c r="AW51" s="73"/>
      <c r="AX51" s="44"/>
      <c r="AY51" s="44"/>
      <c r="AZ51" s="71"/>
      <c r="BA51" s="71"/>
      <c r="BB51" s="71"/>
      <c r="BC51" s="71"/>
      <c r="BD51" s="71"/>
      <c r="BE51" s="71"/>
      <c r="BF51" s="71"/>
      <c r="BG51" s="71"/>
      <c r="BH51" s="71"/>
      <c r="BI51" s="71"/>
      <c r="BJ51" s="71"/>
      <c r="BK51" s="71"/>
      <c r="BL51" s="71"/>
      <c r="BM51" s="71"/>
      <c r="BN51" s="71"/>
      <c r="BO51" s="71"/>
      <c r="BP51" s="71"/>
      <c r="BQ51" s="71"/>
    </row>
    <row r="52" spans="1:69" s="1" customFormat="1">
      <c r="A52" s="1" t="s">
        <v>134</v>
      </c>
      <c r="B52" s="1" t="s">
        <v>56</v>
      </c>
      <c r="C52" s="43"/>
      <c r="F52" s="44">
        <v>1.8531468531468531</v>
      </c>
      <c r="G52" s="44">
        <f>VLOOKUP(B52,[1]lyc!$G$17:$I$32,3,FALSE)</f>
        <v>0.36363636363636365</v>
      </c>
      <c r="H52" s="44">
        <f>VLOOKUP(B52,[1]lyc!$K$17:$M$32,3,FALSE)</f>
        <v>-2.8</v>
      </c>
      <c r="I52" s="44">
        <f>VLOOKUP(B52,[1]lyc!$O$17:$Q$32,3,FALSE)</f>
        <v>2.1014492753623193</v>
      </c>
      <c r="J52" s="44">
        <f>VLOOKUP(B52,[1]lyc!$S$17:$U$32,3,FALSE)</f>
        <v>0.95890410958904015</v>
      </c>
      <c r="K52" s="44">
        <f>VLOOKUP(B52,[1]lyc!$W$17:$Y$32,3,FALSE)</f>
        <v>-4.5</v>
      </c>
      <c r="L52" s="44">
        <f>VLOOKUP(B52,[1]lyc!$AA$17:$AC$32,3,FALSE)</f>
        <v>1.44</v>
      </c>
      <c r="M52" s="44">
        <f>VLOOKUP(B52,[1]lyc!$AE$17:$AG$32,3,FALSE)</f>
        <v>3.1400966183574877</v>
      </c>
      <c r="N52" s="44">
        <v>-3.4615384615384617</v>
      </c>
      <c r="O52" s="71"/>
      <c r="P52" s="71"/>
      <c r="Q52" s="71"/>
      <c r="T52" s="44"/>
      <c r="U52" s="72"/>
      <c r="V52" s="71"/>
      <c r="W52" s="71"/>
      <c r="X52" s="71"/>
      <c r="Y52" s="71"/>
      <c r="Z52" s="71"/>
      <c r="AA52" s="71"/>
      <c r="AB52" s="71"/>
      <c r="AC52" s="71"/>
      <c r="AD52" s="71"/>
      <c r="AE52" s="71"/>
      <c r="AH52" s="71"/>
      <c r="AI52" s="71"/>
      <c r="AJ52" s="71"/>
      <c r="AK52" s="71"/>
      <c r="AL52" s="71"/>
      <c r="AM52" s="71"/>
      <c r="AN52" s="71"/>
      <c r="AO52" s="71"/>
      <c r="AR52" s="71"/>
      <c r="AS52" s="71"/>
      <c r="AT52" s="73"/>
      <c r="AU52" s="73"/>
      <c r="AV52" s="73"/>
      <c r="AW52" s="73"/>
      <c r="AX52" s="44"/>
      <c r="AY52" s="44"/>
      <c r="AZ52" s="71"/>
      <c r="BA52" s="71"/>
      <c r="BB52" s="71"/>
      <c r="BC52" s="71"/>
      <c r="BD52" s="71"/>
      <c r="BE52" s="71"/>
      <c r="BF52" s="71"/>
      <c r="BG52" s="71"/>
      <c r="BH52" s="71"/>
      <c r="BI52" s="71"/>
      <c r="BJ52" s="71"/>
      <c r="BK52" s="71"/>
      <c r="BL52" s="71"/>
      <c r="BM52" s="71"/>
      <c r="BN52" s="71"/>
      <c r="BO52" s="71"/>
      <c r="BP52" s="71"/>
      <c r="BQ52" s="71"/>
    </row>
    <row r="53" spans="1:69" s="1" customFormat="1">
      <c r="A53" s="1" t="s">
        <v>135</v>
      </c>
      <c r="B53" s="1" t="s">
        <v>57</v>
      </c>
      <c r="C53" s="44"/>
      <c r="F53" s="44">
        <v>1.8531468531468531</v>
      </c>
      <c r="G53" s="44">
        <f>VLOOKUP(B53,[1]lyc!$G$17:$I$32,3,FALSE)</f>
        <v>0.32727272727272932</v>
      </c>
      <c r="H53" s="44">
        <f>VLOOKUP(B53,[1]lyc!$K$17:$M$32,3,FALSE)</f>
        <v>-1.925</v>
      </c>
      <c r="I53" s="44">
        <f>VLOOKUP(B53,[1]lyc!$O$17:$Q$32,3,FALSE)</f>
        <v>-2.6</v>
      </c>
      <c r="J53" s="44">
        <f>VLOOKUP(B53,[1]lyc!$S$17:$U$32,3,FALSE)</f>
        <v>-3.6</v>
      </c>
      <c r="K53" s="44">
        <f>VLOOKUP(B53,[1]lyc!$W$17:$Y$32,3,FALSE)</f>
        <v>1.4220183486238573</v>
      </c>
      <c r="L53" s="44">
        <f>VLOOKUP(B53,[1]lyc!$AA$17:$AC$32,3,FALSE)</f>
        <v>5</v>
      </c>
      <c r="M53" s="44">
        <f>VLOOKUP(B53,[1]lyc!$AE$17:$AG$32,3,FALSE)</f>
        <v>-5</v>
      </c>
      <c r="N53" s="44">
        <v>-0.76923076923076927</v>
      </c>
      <c r="O53" s="71"/>
      <c r="P53" s="71"/>
      <c r="Q53" s="71"/>
      <c r="T53" s="44"/>
      <c r="U53" s="72"/>
      <c r="V53" s="71"/>
      <c r="W53" s="71"/>
      <c r="X53" s="71"/>
      <c r="Y53" s="71"/>
      <c r="Z53" s="71"/>
      <c r="AA53" s="71"/>
      <c r="AB53" s="71"/>
      <c r="AC53" s="71"/>
      <c r="AD53" s="71"/>
      <c r="AE53" s="71"/>
      <c r="AH53" s="71"/>
      <c r="AI53" s="71"/>
      <c r="AJ53" s="71"/>
      <c r="AK53" s="71"/>
      <c r="AL53" s="71"/>
      <c r="AM53" s="71"/>
      <c r="AN53" s="71"/>
      <c r="AO53" s="71"/>
      <c r="AR53" s="71"/>
      <c r="AS53" s="71"/>
      <c r="AT53" s="73"/>
      <c r="AU53" s="73"/>
      <c r="AV53" s="73"/>
      <c r="AW53" s="73"/>
      <c r="AX53" s="44"/>
      <c r="AY53" s="44"/>
      <c r="AZ53" s="71"/>
      <c r="BA53" s="71"/>
      <c r="BB53" s="71"/>
      <c r="BC53" s="71"/>
      <c r="BD53" s="71"/>
      <c r="BE53" s="71"/>
      <c r="BF53" s="71"/>
      <c r="BG53" s="71"/>
      <c r="BH53" s="71"/>
      <c r="BI53" s="71"/>
      <c r="BJ53" s="71"/>
      <c r="BK53" s="71"/>
      <c r="BL53" s="71"/>
      <c r="BM53" s="71"/>
      <c r="BN53" s="71"/>
      <c r="BO53" s="71"/>
      <c r="BP53" s="71"/>
      <c r="BQ53" s="71"/>
    </row>
    <row r="54" spans="1:69" s="1" customFormat="1">
      <c r="A54" s="1" t="s">
        <v>136</v>
      </c>
      <c r="B54" s="1" t="s">
        <v>60</v>
      </c>
      <c r="C54" s="44"/>
      <c r="F54" s="44">
        <v>-1.1188811188811187</v>
      </c>
      <c r="G54" s="44">
        <f>VLOOKUP(B54,[1]lyc!$G$17:$I$32,3,FALSE)</f>
        <v>1.7454545454545445</v>
      </c>
      <c r="H54" s="44">
        <f>VLOOKUP(B54,[1]lyc!$K$17:$M$32,3,FALSE)</f>
        <v>3.6749999999999998</v>
      </c>
      <c r="I54" s="44">
        <f>VLOOKUP(B54,[1]lyc!$O$17:$Q$32,3,FALSE)</f>
        <v>-1.6</v>
      </c>
      <c r="J54" s="44">
        <f>VLOOKUP(B54,[1]lyc!$S$17:$U$32,3,FALSE)</f>
        <v>0.34246575342465752</v>
      </c>
      <c r="K54" s="44">
        <f>VLOOKUP(B54,[1]lyc!$W$17:$Y$32,3,FALSE)</f>
        <v>-3.7</v>
      </c>
      <c r="L54" s="44">
        <f>VLOOKUP(B54,[1]lyc!$AA$17:$AC$32,3,FALSE)</f>
        <v>-3.7</v>
      </c>
      <c r="M54" s="44">
        <f>VLOOKUP(B54,[1]lyc!$AE$17:$AG$32,3,FALSE)</f>
        <v>2.2222222222222228</v>
      </c>
      <c r="N54" s="44">
        <v>-2.4102564102564119</v>
      </c>
      <c r="O54" s="71"/>
      <c r="P54" s="71"/>
      <c r="Q54" s="71"/>
      <c r="T54" s="44"/>
      <c r="U54" s="72"/>
      <c r="V54" s="71"/>
      <c r="W54" s="71"/>
      <c r="X54" s="71"/>
      <c r="Y54" s="71"/>
      <c r="Z54" s="71"/>
      <c r="AA54" s="71"/>
      <c r="AB54" s="71"/>
      <c r="AC54" s="71"/>
      <c r="AD54" s="71"/>
      <c r="AE54" s="71"/>
      <c r="AH54" s="71"/>
      <c r="AI54" s="71"/>
      <c r="AJ54" s="71"/>
      <c r="AK54" s="71"/>
      <c r="AL54" s="71"/>
      <c r="AM54" s="71"/>
      <c r="AN54" s="71"/>
      <c r="AO54" s="71"/>
      <c r="AR54" s="71"/>
      <c r="AS54" s="71"/>
      <c r="AT54" s="73"/>
      <c r="AU54" s="73"/>
      <c r="AV54" s="73"/>
      <c r="AW54" s="73"/>
      <c r="AX54" s="44"/>
      <c r="AY54" s="44"/>
      <c r="AZ54" s="71"/>
      <c r="BA54" s="71"/>
      <c r="BB54" s="71"/>
      <c r="BC54" s="71"/>
      <c r="BD54" s="71"/>
      <c r="BE54" s="71"/>
      <c r="BF54" s="71"/>
      <c r="BG54" s="71"/>
      <c r="BH54" s="71"/>
      <c r="BI54" s="71"/>
      <c r="BJ54" s="71"/>
      <c r="BK54" s="71"/>
      <c r="BL54" s="71"/>
      <c r="BM54" s="71"/>
      <c r="BN54" s="71"/>
      <c r="BO54" s="71"/>
      <c r="BP54" s="71"/>
      <c r="BQ54" s="71"/>
    </row>
    <row r="55" spans="1:69" s="1" customFormat="1">
      <c r="A55" s="1" t="s">
        <v>137</v>
      </c>
      <c r="B55" s="1" t="s">
        <v>61</v>
      </c>
      <c r="C55" s="44"/>
      <c r="F55" s="44">
        <v>-5</v>
      </c>
      <c r="G55" s="44">
        <f>VLOOKUP(B55,[1]lyc!$G$17:$I$32,3,FALSE)</f>
        <v>-5</v>
      </c>
      <c r="H55" s="44">
        <f>VLOOKUP(B55,[1]lyc!$K$17:$M$32,3,FALSE)</f>
        <v>-5</v>
      </c>
      <c r="I55" s="44">
        <f>VLOOKUP(B55,[1]lyc!$O$17:$Q$32,3,FALSE)</f>
        <v>4.8</v>
      </c>
      <c r="J55" s="44">
        <f>VLOOKUP(B55,[1]lyc!$S$17:$U$32,3,FALSE)</f>
        <v>4.8</v>
      </c>
      <c r="K55" s="44">
        <f>VLOOKUP(B55,[1]lyc!$W$17:$Y$32,3,FALSE)</f>
        <v>-1.4678899082568821</v>
      </c>
      <c r="L55" s="44">
        <f>VLOOKUP(B55,[1]lyc!$AA$17:$AC$32,3,FALSE)</f>
        <v>5</v>
      </c>
      <c r="M55" s="44">
        <f>VLOOKUP(B55,[1]lyc!$AE$17:$AG$32,3,FALSE)</f>
        <v>0.14492753623188609</v>
      </c>
      <c r="N55" s="44">
        <v>-4.5</v>
      </c>
      <c r="O55" s="71"/>
      <c r="P55" s="71"/>
      <c r="Q55" s="71"/>
      <c r="T55" s="44"/>
      <c r="U55" s="72"/>
      <c r="V55" s="71"/>
      <c r="W55" s="71"/>
      <c r="X55" s="71"/>
      <c r="Y55" s="71"/>
      <c r="Z55" s="71"/>
      <c r="AA55" s="71"/>
      <c r="AB55" s="71"/>
      <c r="AC55" s="71"/>
      <c r="AD55" s="71"/>
      <c r="AE55" s="71"/>
      <c r="AH55" s="71"/>
      <c r="AI55" s="71"/>
      <c r="AJ55" s="71"/>
      <c r="AK55" s="71"/>
      <c r="AL55" s="71"/>
      <c r="AM55" s="71"/>
      <c r="AN55" s="71"/>
      <c r="AO55" s="71"/>
      <c r="AR55" s="71"/>
      <c r="AS55" s="71"/>
      <c r="AT55" s="73"/>
      <c r="AU55" s="73"/>
      <c r="AV55" s="73"/>
      <c r="AW55" s="73"/>
      <c r="AX55" s="44"/>
      <c r="AY55" s="44"/>
      <c r="AZ55" s="71"/>
      <c r="BA55" s="71"/>
      <c r="BB55" s="71"/>
      <c r="BC55" s="71"/>
      <c r="BD55" s="71"/>
      <c r="BE55" s="71"/>
      <c r="BF55" s="71"/>
      <c r="BG55" s="71"/>
      <c r="BH55" s="71"/>
      <c r="BI55" s="71"/>
      <c r="BJ55" s="71"/>
      <c r="BK55" s="71"/>
      <c r="BL55" s="71"/>
      <c r="BM55" s="71"/>
      <c r="BN55" s="71"/>
      <c r="BO55" s="71"/>
      <c r="BP55" s="71"/>
      <c r="BQ55" s="71"/>
    </row>
    <row r="56" spans="1:69" s="1" customFormat="1">
      <c r="A56" s="1" t="s">
        <v>138</v>
      </c>
      <c r="B56" s="1" t="s">
        <v>62</v>
      </c>
      <c r="C56" s="44"/>
      <c r="F56" s="44">
        <v>-1.1188811188811187</v>
      </c>
      <c r="G56" s="44">
        <f>VLOOKUP(B56,[1]lyc!$G$17:$I$32,3,FALSE)</f>
        <v>-1.3818181818181807</v>
      </c>
      <c r="H56" s="44">
        <f>VLOOKUP(B56,[1]lyc!$K$17:$M$32,3,FALSE)</f>
        <v>-2.0250000000000004</v>
      </c>
      <c r="I56" s="44">
        <f>VLOOKUP(B56,[1]lyc!$O$17:$Q$32,3,FALSE)</f>
        <v>4.5</v>
      </c>
      <c r="J56" s="44">
        <f>VLOOKUP(B56,[1]lyc!$S$17:$U$32,3,FALSE)</f>
        <v>0.82191780821917759</v>
      </c>
      <c r="K56" s="44">
        <f>VLOOKUP(B56,[1]lyc!$W$17:$Y$32,3,FALSE)</f>
        <v>-4.8</v>
      </c>
      <c r="L56" s="44">
        <f>VLOOKUP(B56,[1]lyc!$AA$17:$AC$32,3,FALSE)</f>
        <v>5</v>
      </c>
      <c r="M56" s="44">
        <f>VLOOKUP(B56,[1]lyc!$AE$17:$AG$32,3,FALSE)</f>
        <v>-1.6425120772946851</v>
      </c>
      <c r="N56" s="44">
        <v>-0.74358974358974506</v>
      </c>
      <c r="O56" s="71"/>
      <c r="P56" s="71"/>
      <c r="Q56" s="71"/>
      <c r="T56" s="44"/>
      <c r="U56" s="72"/>
      <c r="V56" s="71"/>
      <c r="W56" s="71"/>
      <c r="X56" s="71"/>
      <c r="Y56" s="71"/>
      <c r="Z56" s="71"/>
      <c r="AA56" s="71"/>
      <c r="AB56" s="71"/>
      <c r="AC56" s="71"/>
      <c r="AD56" s="71"/>
      <c r="AE56" s="71"/>
      <c r="AH56" s="71"/>
      <c r="AI56" s="71"/>
      <c r="AJ56" s="71"/>
      <c r="AK56" s="71"/>
      <c r="AL56" s="71"/>
      <c r="AM56" s="71"/>
      <c r="AN56" s="71"/>
      <c r="AO56" s="71"/>
      <c r="AR56" s="71"/>
      <c r="AS56" s="71"/>
      <c r="AT56" s="73"/>
      <c r="AU56" s="73"/>
      <c r="AV56" s="73"/>
      <c r="AW56" s="73"/>
      <c r="AX56" s="44"/>
      <c r="AY56" s="44"/>
      <c r="AZ56" s="71"/>
      <c r="BA56" s="71"/>
      <c r="BB56" s="71"/>
      <c r="BC56" s="71"/>
      <c r="BD56" s="71"/>
      <c r="BE56" s="71"/>
      <c r="BF56" s="71"/>
      <c r="BG56" s="71"/>
      <c r="BH56" s="71"/>
      <c r="BI56" s="71"/>
      <c r="BJ56" s="71"/>
      <c r="BK56" s="71"/>
      <c r="BL56" s="71"/>
      <c r="BM56" s="71"/>
      <c r="BN56" s="71"/>
      <c r="BO56" s="71"/>
      <c r="BP56" s="71"/>
      <c r="BQ56" s="71"/>
    </row>
    <row r="57" spans="1:69" s="1" customFormat="1">
      <c r="A57" s="1" t="s">
        <v>139</v>
      </c>
      <c r="B57" s="1" t="s">
        <v>63</v>
      </c>
      <c r="C57" s="44"/>
      <c r="F57" s="44">
        <v>-2.5524475524475525</v>
      </c>
      <c r="G57" s="44">
        <f>VLOOKUP(B57,[1]lyc!$G$17:$I$32,3,FALSE)</f>
        <v>-1.4909090909090887</v>
      </c>
      <c r="H57" s="44">
        <f>VLOOKUP(B57,[1]lyc!$K$17:$M$32,3,FALSE)</f>
        <v>5</v>
      </c>
      <c r="I57" s="44">
        <f>VLOOKUP(B57,[1]lyc!$O$17:$Q$32,3,FALSE)</f>
        <v>5</v>
      </c>
      <c r="J57" s="44">
        <f>VLOOKUP(B57,[1]lyc!$S$17:$U$32,3,FALSE)</f>
        <v>5</v>
      </c>
      <c r="K57" s="44">
        <f>VLOOKUP(B57,[1]lyc!$W$17:$Y$32,3,FALSE)</f>
        <v>-5</v>
      </c>
      <c r="L57" s="44">
        <f>VLOOKUP(B57,[1]lyc!$AA$17:$AC$32,3,FALSE)</f>
        <v>-5</v>
      </c>
      <c r="M57" s="44">
        <f>VLOOKUP(B57,[1]lyc!$AE$17:$AG$32,3,FALSE)</f>
        <v>-2.0048309178743953</v>
      </c>
      <c r="N57" s="44">
        <v>-5</v>
      </c>
      <c r="O57" s="71"/>
      <c r="P57" s="71"/>
      <c r="Q57" s="71"/>
      <c r="T57" s="44"/>
      <c r="U57" s="72"/>
      <c r="V57" s="71"/>
      <c r="W57" s="71"/>
      <c r="X57" s="71"/>
      <c r="Y57" s="71"/>
      <c r="Z57" s="71"/>
      <c r="AA57" s="71"/>
      <c r="AB57" s="71"/>
      <c r="AC57" s="71"/>
      <c r="AD57" s="71"/>
      <c r="AE57" s="71"/>
      <c r="AH57" s="71"/>
      <c r="AI57" s="71"/>
      <c r="AJ57" s="71"/>
      <c r="AK57" s="71"/>
      <c r="AL57" s="71"/>
      <c r="AM57" s="71"/>
      <c r="AN57" s="71"/>
      <c r="AO57" s="71"/>
      <c r="AR57" s="71"/>
      <c r="AS57" s="71"/>
      <c r="AT57" s="73"/>
      <c r="AU57" s="73"/>
      <c r="AV57" s="73"/>
      <c r="AW57" s="73"/>
      <c r="AX57" s="44"/>
      <c r="AY57" s="44"/>
      <c r="AZ57" s="71"/>
      <c r="BA57" s="71"/>
      <c r="BB57" s="71"/>
      <c r="BC57" s="71"/>
      <c r="BD57" s="71"/>
      <c r="BE57" s="71"/>
      <c r="BF57" s="71"/>
      <c r="BG57" s="71"/>
      <c r="BH57" s="71"/>
      <c r="BI57" s="71"/>
      <c r="BJ57" s="71"/>
      <c r="BK57" s="71"/>
      <c r="BL57" s="71"/>
      <c r="BM57" s="71"/>
      <c r="BN57" s="71"/>
      <c r="BO57" s="71"/>
      <c r="BP57" s="71"/>
      <c r="BQ57" s="71"/>
    </row>
    <row r="58" spans="1:69" s="1" customFormat="1">
      <c r="A58" s="1" t="s">
        <v>140</v>
      </c>
      <c r="B58" s="1" t="s">
        <v>64</v>
      </c>
      <c r="C58" s="44"/>
      <c r="F58" s="44">
        <v>2.5174825174825175</v>
      </c>
      <c r="G58" s="44">
        <f>VLOOKUP(B58,[1]lyc!$G$17:$I$32,3,FALSE)</f>
        <v>-0.83636363636363531</v>
      </c>
      <c r="H58" s="44">
        <f>VLOOKUP(B58,[1]lyc!$K$17:$M$32,3,FALSE)</f>
        <v>-0.10000000000000053</v>
      </c>
      <c r="I58" s="44">
        <f>VLOOKUP(B58,[1]lyc!$O$17:$Q$32,3,FALSE)</f>
        <v>1.6666666666666667</v>
      </c>
      <c r="J58" s="44">
        <f>VLOOKUP(B58,[1]lyc!$S$17:$U$32,3,FALSE)</f>
        <v>0.75342465753424515</v>
      </c>
      <c r="K58" s="44">
        <f>VLOOKUP(B58,[1]lyc!$W$17:$Y$32,3,FALSE)</f>
        <v>9.1743119266056355E-2</v>
      </c>
      <c r="L58" s="44">
        <f>VLOOKUP(B58,[1]lyc!$AA$17:$AC$32,3,FALSE)</f>
        <v>-0.55999999999999983</v>
      </c>
      <c r="M58" s="44">
        <f>VLOOKUP(B58,[1]lyc!$AE$17:$AG$32,3,FALSE)</f>
        <v>-1.7632850241545885</v>
      </c>
      <c r="N58" s="44">
        <v>1.5641025641025625</v>
      </c>
      <c r="O58" s="71"/>
      <c r="P58" s="71"/>
      <c r="Q58" s="71"/>
      <c r="T58" s="44"/>
      <c r="U58" s="72"/>
      <c r="V58" s="71"/>
      <c r="W58" s="71"/>
      <c r="X58" s="71"/>
      <c r="Y58" s="71"/>
      <c r="Z58" s="71"/>
      <c r="AA58" s="71"/>
      <c r="AB58" s="71"/>
      <c r="AC58" s="71"/>
      <c r="AD58" s="71"/>
      <c r="AE58" s="71"/>
      <c r="AH58" s="71"/>
      <c r="AI58" s="71"/>
      <c r="AJ58" s="71"/>
      <c r="AK58" s="71"/>
      <c r="AL58" s="71"/>
      <c r="AM58" s="71"/>
      <c r="AN58" s="71"/>
      <c r="AO58" s="71"/>
      <c r="AR58" s="71"/>
      <c r="AS58" s="71"/>
      <c r="AT58" s="73"/>
      <c r="AU58" s="73"/>
      <c r="AV58" s="73"/>
      <c r="AW58" s="73"/>
      <c r="AX58" s="44"/>
      <c r="AY58" s="44"/>
      <c r="AZ58" s="71"/>
      <c r="BA58" s="71"/>
      <c r="BB58" s="71"/>
      <c r="BC58" s="71"/>
      <c r="BD58" s="71"/>
      <c r="BE58" s="71"/>
      <c r="BF58" s="71"/>
      <c r="BG58" s="71"/>
      <c r="BH58" s="71"/>
      <c r="BI58" s="71"/>
      <c r="BJ58" s="71"/>
      <c r="BK58" s="71"/>
      <c r="BL58" s="71"/>
      <c r="BM58" s="71"/>
      <c r="BN58" s="71"/>
      <c r="BO58" s="71"/>
      <c r="BP58" s="71"/>
      <c r="BQ58" s="71"/>
    </row>
    <row r="59" spans="1:69" s="1" customFormat="1">
      <c r="A59" s="1" t="s">
        <v>142</v>
      </c>
      <c r="B59" s="1" t="s">
        <v>66</v>
      </c>
      <c r="C59" s="44"/>
      <c r="F59" s="44">
        <v>2.2727272727272725</v>
      </c>
      <c r="G59" s="44">
        <f>VLOOKUP(B59,[1]lyc!$G$17:$I$32,3,FALSE)</f>
        <v>-0.21818181818181612</v>
      </c>
      <c r="H59" s="44">
        <f>VLOOKUP(B59,[1]lyc!$K$17:$M$32,3,FALSE)</f>
        <v>1.2999999999999998</v>
      </c>
      <c r="I59" s="44">
        <f>VLOOKUP(B59,[1]lyc!$O$17:$Q$32,3,FALSE)</f>
        <v>-5</v>
      </c>
      <c r="J59" s="44">
        <f>VLOOKUP(B59,[1]lyc!$S$17:$U$32,3,FALSE)</f>
        <v>0.20547945205479257</v>
      </c>
      <c r="K59" s="44">
        <f>VLOOKUP(B59,[1]lyc!$W$17:$Y$32,3,FALSE)</f>
        <v>5</v>
      </c>
      <c r="L59" s="44">
        <f>VLOOKUP(B59,[1]lyc!$AA$17:$AC$32,3,FALSE)</f>
        <v>-0.48000000000000009</v>
      </c>
      <c r="M59" s="44">
        <f>VLOOKUP(B59,[1]lyc!$AE$17:$AG$32,3,FALSE)</f>
        <v>-2.1497584541062795</v>
      </c>
      <c r="N59" s="44">
        <v>-3.3589743589743613</v>
      </c>
      <c r="O59" s="71"/>
      <c r="P59" s="71"/>
      <c r="Q59" s="71"/>
      <c r="T59" s="44"/>
      <c r="U59" s="72"/>
      <c r="V59" s="71"/>
      <c r="W59" s="71"/>
      <c r="X59" s="71"/>
      <c r="Y59" s="71"/>
      <c r="Z59" s="71"/>
      <c r="AA59" s="71"/>
      <c r="AB59" s="71"/>
      <c r="AC59" s="71"/>
      <c r="AD59" s="71"/>
      <c r="AE59" s="71"/>
      <c r="AH59" s="71"/>
      <c r="AI59" s="71"/>
      <c r="AJ59" s="71"/>
      <c r="AK59" s="71"/>
      <c r="AL59" s="71"/>
      <c r="AM59" s="71"/>
      <c r="AN59" s="71"/>
      <c r="AO59" s="71"/>
      <c r="AR59" s="71"/>
      <c r="AS59" s="71"/>
      <c r="AT59" s="73"/>
      <c r="AU59" s="73"/>
      <c r="AV59" s="73"/>
      <c r="AW59" s="73"/>
      <c r="AX59" s="44"/>
      <c r="AY59" s="44"/>
      <c r="AZ59" s="71"/>
      <c r="BA59" s="71"/>
      <c r="BB59" s="71"/>
      <c r="BC59" s="71"/>
      <c r="BD59" s="71"/>
      <c r="BE59" s="71"/>
      <c r="BF59" s="71"/>
      <c r="BG59" s="71"/>
      <c r="BH59" s="71"/>
      <c r="BI59" s="71"/>
      <c r="BJ59" s="71"/>
      <c r="BK59" s="71"/>
      <c r="BL59" s="71"/>
      <c r="BM59" s="71"/>
      <c r="BN59" s="71"/>
      <c r="BO59" s="71"/>
      <c r="BP59" s="71"/>
      <c r="BQ59" s="71"/>
    </row>
    <row r="60" spans="1:69" s="1" customFormat="1">
      <c r="A60" s="1" t="s">
        <v>143</v>
      </c>
      <c r="B60" s="1" t="s">
        <v>67</v>
      </c>
      <c r="C60" s="44"/>
      <c r="F60" s="44">
        <v>-1.6783216783216783</v>
      </c>
      <c r="G60" s="44">
        <f>VLOOKUP(B60,[1]lyc!$G$17:$I$32,3,FALSE)</f>
        <v>-4.5999999999999996</v>
      </c>
      <c r="H60" s="44">
        <f>VLOOKUP(B60,[1]lyc!$K$17:$M$32,3,FALSE)</f>
        <v>-1.8500000000000008</v>
      </c>
      <c r="I60" s="44">
        <f>VLOOKUP(B60,[1]lyc!$O$17:$Q$32,3,FALSE)</f>
        <v>4.5</v>
      </c>
      <c r="J60" s="44">
        <f>VLOOKUP(B60,[1]lyc!$S$17:$U$32,3,FALSE)</f>
        <v>3.0821917808219168</v>
      </c>
      <c r="K60" s="44">
        <f>VLOOKUP(B60,[1]lyc!$W$17:$Y$32,3,FALSE)</f>
        <v>4.0999999999999996</v>
      </c>
      <c r="L60" s="44">
        <f>VLOOKUP(B60,[1]lyc!$AA$17:$AC$32,3,FALSE)</f>
        <v>8.0000000000000071E-2</v>
      </c>
      <c r="M60" s="44">
        <f>VLOOKUP(B60,[1]lyc!$AE$17:$AG$32,3,FALSE)</f>
        <v>1.2318840579710164</v>
      </c>
      <c r="N60" s="44">
        <v>1.4358974358974343</v>
      </c>
      <c r="O60" s="71"/>
      <c r="P60" s="71"/>
      <c r="Q60" s="71"/>
      <c r="T60" s="44"/>
      <c r="U60" s="72"/>
      <c r="V60" s="71"/>
      <c r="W60" s="71"/>
      <c r="X60" s="71"/>
      <c r="Y60" s="71"/>
      <c r="Z60" s="71"/>
      <c r="AA60" s="71"/>
      <c r="AB60" s="71"/>
      <c r="AC60" s="71"/>
      <c r="AD60" s="71"/>
      <c r="AE60" s="71"/>
      <c r="AH60" s="71"/>
      <c r="AI60" s="71"/>
      <c r="AJ60" s="71"/>
      <c r="AK60" s="71"/>
      <c r="AL60" s="71"/>
      <c r="AM60" s="71"/>
      <c r="AN60" s="71"/>
      <c r="AO60" s="71"/>
      <c r="AR60" s="71"/>
      <c r="AS60" s="71"/>
      <c r="AT60" s="73"/>
      <c r="AU60" s="73"/>
      <c r="AV60" s="73"/>
      <c r="AW60" s="73"/>
      <c r="AX60" s="44"/>
      <c r="AY60" s="44"/>
      <c r="AZ60" s="71"/>
      <c r="BA60" s="71"/>
      <c r="BB60" s="71"/>
      <c r="BC60" s="71"/>
      <c r="BD60" s="71"/>
      <c r="BE60" s="71"/>
      <c r="BF60" s="71"/>
      <c r="BG60" s="71"/>
      <c r="BH60" s="71"/>
      <c r="BI60" s="71"/>
      <c r="BJ60" s="71"/>
      <c r="BK60" s="71"/>
      <c r="BL60" s="71"/>
      <c r="BM60" s="71"/>
      <c r="BN60" s="71"/>
      <c r="BO60" s="71"/>
      <c r="BP60" s="71"/>
      <c r="BQ60" s="71"/>
    </row>
    <row r="61" spans="1:69" s="1" customFormat="1">
      <c r="A61" s="1" t="s">
        <v>130</v>
      </c>
      <c r="B61" s="1" t="s">
        <v>35</v>
      </c>
      <c r="C61" s="44"/>
      <c r="F61" s="44">
        <v>5</v>
      </c>
      <c r="G61" s="44">
        <f>VLOOKUP(B61,[1]lyc!$G$17:$I$32,3,FALSE)</f>
        <v>1.7454545454545445</v>
      </c>
      <c r="H61" s="44">
        <f>VLOOKUP(B61,[1]lyc!$K$17:$M$32,3,FALSE)</f>
        <v>2.1999999999999997</v>
      </c>
      <c r="I61" s="44">
        <f>VLOOKUP(B61,[1]lyc!$O$17:$Q$32,3,FALSE)</f>
        <v>-2.6</v>
      </c>
      <c r="J61" s="44">
        <f>VLOOKUP(B61,[1]lyc!$S$17:$U$32,3,FALSE)</f>
        <v>-2.2000000000000002</v>
      </c>
      <c r="K61" s="44">
        <f>VLOOKUP(B61,[1]lyc!$W$17:$Y$32,3,FALSE)</f>
        <v>3.1</v>
      </c>
      <c r="L61" s="44">
        <f>VLOOKUP(B61,[1]lyc!$AA$17:$AC$32,3,FALSE)</f>
        <v>1.44</v>
      </c>
      <c r="M61" s="44">
        <f>VLOOKUP(B61,[1]lyc!$AE$17:$AG$32,3,FALSE)</f>
        <v>-2.3429951690821245</v>
      </c>
      <c r="N61" s="44">
        <v>3.6</v>
      </c>
      <c r="O61" s="71"/>
      <c r="P61" s="71"/>
      <c r="Q61" s="71"/>
      <c r="T61" s="44"/>
      <c r="U61" s="72"/>
      <c r="V61" s="71"/>
      <c r="W61" s="71"/>
      <c r="X61" s="71"/>
      <c r="Y61" s="71"/>
      <c r="Z61" s="71"/>
      <c r="AA61" s="71"/>
      <c r="AB61" s="71"/>
      <c r="AC61" s="71"/>
      <c r="AD61" s="71"/>
      <c r="AE61" s="71"/>
      <c r="AH61" s="71"/>
      <c r="AI61" s="71"/>
      <c r="AJ61" s="71"/>
      <c r="AK61" s="71"/>
      <c r="AL61" s="71"/>
      <c r="AM61" s="71"/>
      <c r="AN61" s="71"/>
      <c r="AO61" s="71"/>
      <c r="AR61" s="71"/>
      <c r="AS61" s="71"/>
      <c r="AT61" s="73"/>
      <c r="AU61" s="73"/>
      <c r="AV61" s="73"/>
      <c r="AW61" s="73"/>
      <c r="AX61" s="44"/>
      <c r="AY61" s="44"/>
      <c r="AZ61" s="71"/>
      <c r="BA61" s="71"/>
      <c r="BB61" s="71"/>
      <c r="BC61" s="71"/>
      <c r="BD61" s="71"/>
      <c r="BE61" s="71"/>
      <c r="BF61" s="71"/>
      <c r="BG61" s="71"/>
      <c r="BH61" s="71"/>
      <c r="BI61" s="71"/>
      <c r="BJ61" s="71"/>
      <c r="BK61" s="71"/>
      <c r="BL61" s="71"/>
      <c r="BM61" s="71"/>
      <c r="BN61" s="71"/>
      <c r="BO61" s="71"/>
      <c r="BP61" s="71"/>
      <c r="BQ61" s="71"/>
    </row>
    <row r="62" spans="1:69" s="1" customFormat="1">
      <c r="A62" s="1" t="s">
        <v>141</v>
      </c>
      <c r="B62" s="1" t="s">
        <v>65</v>
      </c>
      <c r="C62" s="44"/>
      <c r="F62" s="44">
        <v>2.4475524475524475</v>
      </c>
      <c r="G62" s="44">
        <f>VLOOKUP(B62,[1]lyc!$G$17:$I$32,3,FALSE)</f>
        <v>5</v>
      </c>
      <c r="H62" s="44">
        <f>VLOOKUP(B62,[1]lyc!$K$17:$M$32,3,FALSE)</f>
        <v>-2.8</v>
      </c>
      <c r="I62" s="44">
        <f>VLOOKUP(B62,[1]lyc!$O$17:$Q$32,3,FALSE)</f>
        <v>-3.9</v>
      </c>
      <c r="J62" s="44">
        <f>VLOOKUP(B62,[1]lyc!$S$17:$U$32,3,FALSE)</f>
        <v>-5</v>
      </c>
      <c r="K62" s="44">
        <f>VLOOKUP(B62,[1]lyc!$W$17:$Y$32,3,FALSE)</f>
        <v>-2.0642201834862388</v>
      </c>
      <c r="L62" s="44">
        <f>VLOOKUP(B62,[1]lyc!$AA$17:$AC$32,3,FALSE)</f>
        <v>-4.5</v>
      </c>
      <c r="M62" s="44">
        <f>VLOOKUP(B62,[1]lyc!$AE$17:$AG$32,3,FALSE)</f>
        <v>2.4</v>
      </c>
      <c r="N62" s="44">
        <v>-1.8974358974358989</v>
      </c>
      <c r="O62" s="71"/>
      <c r="P62" s="71"/>
      <c r="Q62" s="71"/>
      <c r="T62" s="44"/>
      <c r="U62" s="72"/>
      <c r="V62" s="71"/>
      <c r="W62" s="71"/>
      <c r="X62" s="71"/>
      <c r="Y62" s="71"/>
      <c r="Z62" s="71"/>
      <c r="AA62" s="71"/>
      <c r="AB62" s="71"/>
      <c r="AC62" s="71"/>
      <c r="AD62" s="71"/>
      <c r="AE62" s="71"/>
      <c r="AH62" s="71"/>
      <c r="AI62" s="71"/>
      <c r="AJ62" s="71"/>
      <c r="AK62" s="71"/>
      <c r="AL62" s="71"/>
      <c r="AM62" s="71"/>
      <c r="AN62" s="71"/>
      <c r="AO62" s="71"/>
      <c r="AR62" s="71"/>
      <c r="AS62" s="71"/>
      <c r="AT62" s="73"/>
      <c r="AU62" s="73"/>
      <c r="AV62" s="73"/>
      <c r="AW62" s="73"/>
      <c r="AX62" s="44"/>
      <c r="AY62" s="44"/>
      <c r="AZ62" s="71"/>
      <c r="BA62" s="71"/>
      <c r="BB62" s="71"/>
      <c r="BC62" s="71"/>
      <c r="BD62" s="71"/>
      <c r="BE62" s="71"/>
      <c r="BF62" s="71"/>
      <c r="BG62" s="71"/>
      <c r="BH62" s="71"/>
      <c r="BI62" s="71"/>
      <c r="BJ62" s="71"/>
      <c r="BK62" s="71"/>
      <c r="BL62" s="71"/>
      <c r="BM62" s="71"/>
      <c r="BN62" s="71"/>
      <c r="BO62" s="71"/>
      <c r="BP62" s="71"/>
      <c r="BQ62" s="71"/>
    </row>
    <row r="63" spans="1:69" s="1" customFormat="1">
      <c r="A63" s="1" t="s">
        <v>144</v>
      </c>
      <c r="B63" s="1" t="s">
        <v>68</v>
      </c>
      <c r="C63" s="44"/>
      <c r="F63" s="44">
        <v>-4.0999999999999996</v>
      </c>
      <c r="G63" s="44">
        <f>VLOOKUP(B63,[1]lyc!$G$17:$I$32,3,FALSE)</f>
        <v>-3.0181818181818172</v>
      </c>
      <c r="H63" s="44">
        <f>VLOOKUP(B63,[1]lyc!$K$17:$M$32,3,FALSE)</f>
        <v>-0.75</v>
      </c>
      <c r="I63" s="44">
        <f>VLOOKUP(B63,[1]lyc!$O$17:$Q$32,3,FALSE)</f>
        <v>2.1014492753623193</v>
      </c>
      <c r="J63" s="44">
        <f>VLOOKUP(B63,[1]lyc!$S$17:$U$32,3,FALSE)</f>
        <v>2.0547945205479454</v>
      </c>
      <c r="K63" s="44">
        <f>VLOOKUP(B63,[1]lyc!$W$17:$Y$32,3,FALSE)</f>
        <v>-2.0642201834862388</v>
      </c>
      <c r="L63" s="44">
        <f>VLOOKUP(B63,[1]lyc!$AA$17:$AC$32,3,FALSE)</f>
        <v>0.56000000000000016</v>
      </c>
      <c r="M63" s="44">
        <f>VLOOKUP(B63,[1]lyc!$AE$17:$AG$32,3,FALSE)</f>
        <v>5</v>
      </c>
      <c r="N63" s="44">
        <v>-4.2820512820512828</v>
      </c>
      <c r="O63" s="71"/>
      <c r="P63" s="71"/>
      <c r="Q63" s="71"/>
      <c r="T63" s="44"/>
      <c r="U63" s="72"/>
      <c r="V63" s="71"/>
      <c r="W63" s="71"/>
      <c r="X63" s="71"/>
      <c r="Y63" s="71"/>
      <c r="Z63" s="71"/>
      <c r="AA63" s="71"/>
      <c r="AB63" s="71"/>
      <c r="AC63" s="71"/>
      <c r="AD63" s="71"/>
      <c r="AE63" s="71"/>
      <c r="AH63" s="71"/>
      <c r="AI63" s="71"/>
      <c r="AJ63" s="71"/>
      <c r="AK63" s="71"/>
      <c r="AL63" s="71"/>
      <c r="AM63" s="71"/>
      <c r="AN63" s="71"/>
      <c r="AO63" s="71"/>
      <c r="AR63" s="71"/>
      <c r="AS63" s="71"/>
      <c r="AT63" s="73"/>
      <c r="AU63" s="73"/>
      <c r="AV63" s="73"/>
      <c r="AW63" s="73"/>
      <c r="AX63" s="44"/>
      <c r="AY63" s="44"/>
      <c r="AZ63" s="71"/>
      <c r="BA63" s="71"/>
      <c r="BB63" s="71"/>
      <c r="BC63" s="71"/>
      <c r="BD63" s="71"/>
      <c r="BE63" s="71"/>
      <c r="BF63" s="71"/>
      <c r="BG63" s="71"/>
      <c r="BH63" s="71"/>
      <c r="BI63" s="71"/>
      <c r="BJ63" s="71"/>
      <c r="BK63" s="71"/>
      <c r="BL63" s="71"/>
      <c r="BM63" s="71"/>
      <c r="BN63" s="71"/>
      <c r="BO63" s="71"/>
      <c r="BP63" s="71"/>
      <c r="BQ63" s="71"/>
    </row>
    <row r="64" spans="1:69" s="1" customFormat="1">
      <c r="A64" s="1" t="s">
        <v>149</v>
      </c>
      <c r="B64" s="1" t="s">
        <v>74</v>
      </c>
      <c r="C64" s="44"/>
      <c r="F64" s="44">
        <v>-2.3076923076923075</v>
      </c>
      <c r="G64" s="44">
        <f>VLOOKUP(B64,[1]lyc!$G$17:$I$32,3,FALSE)</f>
        <v>-1.1999999999999991</v>
      </c>
      <c r="H64" s="44">
        <f>VLOOKUP(B64,[1]lyc!$K$17:$M$32,3,FALSE)</f>
        <v>2.0499999999999998</v>
      </c>
      <c r="I64" s="44">
        <f>VLOOKUP(B64,[1]lyc!$O$17:$Q$32,3,FALSE)</f>
        <v>-0.79710144927536475</v>
      </c>
      <c r="J64" s="44">
        <f>VLOOKUP(B64,[1]lyc!$S$17:$U$32,3,FALSE)</f>
        <v>-2.1917808219178103</v>
      </c>
      <c r="K64" s="44">
        <f>VLOOKUP(B64,[1]lyc!$W$17:$Y$32,3,FALSE)</f>
        <v>-0.64220183486238147</v>
      </c>
      <c r="L64" s="44">
        <f>VLOOKUP(B64,[1]lyc!$AA$17:$AC$32,3,FALSE)</f>
        <v>0.24000000000000021</v>
      </c>
      <c r="M64" s="44">
        <f>VLOOKUP(B64,[1]lyc!$AE$17:$AG$32,3,FALSE)</f>
        <v>-0.60386473429951681</v>
      </c>
      <c r="N64" s="44">
        <v>1.7435897435897429</v>
      </c>
      <c r="O64" s="71"/>
      <c r="P64" s="71"/>
      <c r="Q64" s="71"/>
      <c r="T64" s="44"/>
      <c r="U64" s="72"/>
      <c r="V64" s="71"/>
      <c r="W64" s="71"/>
      <c r="X64" s="71"/>
      <c r="Y64" s="71"/>
      <c r="Z64" s="71"/>
      <c r="AA64" s="71"/>
      <c r="AB64" s="71"/>
      <c r="AC64" s="71"/>
      <c r="AD64" s="71"/>
      <c r="AE64" s="71"/>
      <c r="AH64" s="71"/>
      <c r="AI64" s="71"/>
      <c r="AJ64" s="71"/>
      <c r="AK64" s="71"/>
      <c r="AL64" s="71"/>
      <c r="AM64" s="71"/>
      <c r="AN64" s="71"/>
      <c r="AO64" s="71"/>
      <c r="AR64" s="71"/>
      <c r="AS64" s="71"/>
      <c r="AT64" s="73"/>
      <c r="AU64" s="73"/>
      <c r="AV64" s="73"/>
      <c r="AW64" s="73"/>
      <c r="AX64" s="44"/>
      <c r="AY64" s="44"/>
      <c r="AZ64" s="71"/>
      <c r="BA64" s="71"/>
      <c r="BB64" s="71"/>
      <c r="BC64" s="71"/>
      <c r="BD64" s="71"/>
      <c r="BE64" s="71"/>
      <c r="BF64" s="71"/>
      <c r="BG64" s="71"/>
      <c r="BH64" s="71"/>
      <c r="BI64" s="71"/>
      <c r="BJ64" s="71"/>
      <c r="BK64" s="71"/>
      <c r="BL64" s="71"/>
      <c r="BM64" s="71"/>
      <c r="BN64" s="71"/>
      <c r="BO64" s="71"/>
      <c r="BP64" s="71"/>
      <c r="BQ64" s="71"/>
    </row>
    <row r="65" spans="1:69" s="1" customFormat="1">
      <c r="A65" s="1" t="s">
        <v>148</v>
      </c>
      <c r="B65" s="1" t="s">
        <v>75</v>
      </c>
      <c r="C65" s="44"/>
      <c r="F65" s="44">
        <v>2.4475524475524475</v>
      </c>
      <c r="G65" s="44">
        <f>VLOOKUP(B65,[1]lyc!$G$17:$I$32,3,FALSE)</f>
        <v>2.7</v>
      </c>
      <c r="H65" s="44">
        <f>VLOOKUP(B65,[1]lyc!$K$17:$M$32,3,FALSE)</f>
        <v>0.70000000000000018</v>
      </c>
      <c r="I65" s="44">
        <f>VLOOKUP(B65,[1]lyc!$O$17:$Q$32,3,FALSE)</f>
        <v>-0.1449275362318842</v>
      </c>
      <c r="J65" s="44">
        <f>VLOOKUP(B65,[1]lyc!$S$17:$U$32,3,FALSE)</f>
        <v>-2.0547945205479454</v>
      </c>
      <c r="K65" s="44">
        <f>VLOOKUP(B65,[1]lyc!$W$17:$Y$32,3,FALSE)</f>
        <v>-0.64220183486238147</v>
      </c>
      <c r="L65" s="44">
        <f>VLOOKUP(B65,[1]lyc!$AA$17:$AC$32,3,FALSE)</f>
        <v>0.7200000000000002</v>
      </c>
      <c r="M65" s="44">
        <f>VLOOKUP(B65,[1]lyc!$AE$17:$AG$32,3,FALSE)</f>
        <v>3.4</v>
      </c>
      <c r="N65" s="44">
        <v>2.3076923076923075</v>
      </c>
      <c r="O65" s="71"/>
      <c r="P65" s="71"/>
      <c r="Q65" s="71"/>
      <c r="T65" s="44"/>
      <c r="U65" s="72"/>
      <c r="V65" s="71"/>
      <c r="W65" s="71"/>
      <c r="X65" s="71"/>
      <c r="Y65" s="71"/>
      <c r="Z65" s="71"/>
      <c r="AA65" s="71"/>
      <c r="AB65" s="71"/>
      <c r="AC65" s="71"/>
      <c r="AD65" s="71"/>
      <c r="AE65" s="71"/>
      <c r="AH65" s="71"/>
      <c r="AI65" s="71"/>
      <c r="AJ65" s="71"/>
      <c r="AK65" s="71"/>
      <c r="AL65" s="71"/>
      <c r="AM65" s="71"/>
      <c r="AN65" s="71"/>
      <c r="AO65" s="71"/>
      <c r="AR65" s="71"/>
      <c r="AS65" s="71"/>
      <c r="AT65" s="73"/>
      <c r="AU65" s="73"/>
      <c r="AV65" s="73"/>
      <c r="AW65" s="73"/>
      <c r="AX65" s="44"/>
      <c r="AY65" s="44"/>
      <c r="AZ65" s="71"/>
      <c r="BA65" s="71"/>
      <c r="BB65" s="71"/>
      <c r="BC65" s="71"/>
      <c r="BD65" s="71"/>
      <c r="BE65" s="71"/>
      <c r="BF65" s="71"/>
      <c r="BG65" s="71"/>
      <c r="BH65" s="71"/>
      <c r="BI65" s="71"/>
      <c r="BJ65" s="71"/>
      <c r="BK65" s="71"/>
      <c r="BL65" s="71"/>
      <c r="BM65" s="71"/>
      <c r="BN65" s="71"/>
      <c r="BO65" s="71"/>
      <c r="BP65" s="71"/>
      <c r="BQ65" s="71"/>
    </row>
    <row r="66" spans="1:69">
      <c r="AT66" s="63"/>
      <c r="AU66" s="63"/>
      <c r="AV66" s="63"/>
      <c r="AW66" s="63"/>
    </row>
    <row r="67" spans="1:69">
      <c r="AT67" s="63"/>
      <c r="AU67" s="63"/>
      <c r="AV67" s="63"/>
      <c r="AW67" s="63"/>
    </row>
    <row r="68" spans="1:69">
      <c r="AT68" s="63"/>
      <c r="AU68" s="63"/>
      <c r="AV68" s="63"/>
      <c r="AW68" s="63"/>
    </row>
    <row r="69" spans="1:69">
      <c r="AT69" s="63"/>
      <c r="AU69" s="63"/>
      <c r="AV69" s="63"/>
      <c r="AW69" s="63"/>
    </row>
    <row r="70" spans="1:69">
      <c r="AT70" s="63"/>
      <c r="AU70" s="63"/>
      <c r="AV70" s="63"/>
      <c r="AW70" s="63"/>
    </row>
    <row r="71" spans="1:69">
      <c r="AT71" s="63"/>
      <c r="AU71" s="63"/>
      <c r="AV71" s="63"/>
      <c r="AW71" s="63"/>
    </row>
    <row r="72" spans="1:69">
      <c r="AT72" s="63"/>
      <c r="AU72" s="63"/>
      <c r="AV72" s="63"/>
      <c r="AW72" s="63"/>
    </row>
    <row r="73" spans="1:69">
      <c r="AT73" s="63"/>
      <c r="AU73" s="63"/>
      <c r="AV73" s="63"/>
      <c r="AW73" s="63"/>
    </row>
    <row r="74" spans="1:69">
      <c r="AT74" s="63"/>
      <c r="AU74" s="63"/>
      <c r="AV74" s="63"/>
      <c r="AW74" s="63"/>
    </row>
    <row r="75" spans="1:69">
      <c r="AT75" s="63"/>
      <c r="AU75" s="63"/>
      <c r="AV75" s="63"/>
      <c r="AW75" s="63"/>
    </row>
    <row r="76" spans="1:69">
      <c r="AT76" s="63"/>
      <c r="AU76" s="63"/>
      <c r="AV76" s="63"/>
      <c r="AW76" s="63"/>
    </row>
    <row r="77" spans="1:69">
      <c r="AT77" s="63"/>
      <c r="AU77" s="63"/>
      <c r="AV77" s="63"/>
      <c r="AW77" s="63"/>
    </row>
    <row r="78" spans="1:69">
      <c r="AT78" s="63"/>
      <c r="AU78" s="63"/>
      <c r="AV78" s="63"/>
      <c r="AW78" s="63"/>
    </row>
    <row r="79" spans="1:69">
      <c r="AT79" s="63"/>
      <c r="AU79" s="63"/>
      <c r="AV79" s="63"/>
      <c r="AW79" s="63"/>
    </row>
    <row r="80" spans="1:69">
      <c r="AT80" s="63"/>
      <c r="AU80" s="63"/>
      <c r="AV80" s="63"/>
      <c r="AW80" s="63"/>
    </row>
    <row r="81" spans="46:49">
      <c r="AT81" s="63"/>
      <c r="AU81" s="63"/>
      <c r="AV81" s="63"/>
      <c r="AW81" s="63"/>
    </row>
    <row r="82" spans="46:49">
      <c r="AT82" s="63"/>
      <c r="AU82" s="63"/>
      <c r="AV82" s="63"/>
      <c r="AW82" s="63"/>
    </row>
    <row r="83" spans="46:49">
      <c r="AT83" s="63"/>
      <c r="AU83" s="63"/>
      <c r="AV83" s="63"/>
      <c r="AW83" s="63"/>
    </row>
    <row r="84" spans="46:49">
      <c r="AT84" s="63"/>
      <c r="AU84" s="63"/>
      <c r="AV84" s="63"/>
      <c r="AW84" s="63"/>
    </row>
    <row r="85" spans="46:49">
      <c r="AT85" s="63"/>
      <c r="AU85" s="63"/>
      <c r="AV85" s="63"/>
      <c r="AW85" s="63"/>
    </row>
    <row r="86" spans="46:49">
      <c r="AT86" s="63"/>
      <c r="AU86" s="63"/>
      <c r="AV86" s="63"/>
      <c r="AW86" s="63"/>
    </row>
    <row r="87" spans="46:49">
      <c r="AT87" s="63"/>
      <c r="AU87" s="63"/>
      <c r="AV87" s="63"/>
      <c r="AW87" s="63"/>
    </row>
    <row r="88" spans="46:49">
      <c r="AT88" s="63"/>
      <c r="AU88" s="63"/>
      <c r="AV88" s="63"/>
      <c r="AW88" s="63"/>
    </row>
    <row r="89" spans="46:49">
      <c r="AT89" s="63"/>
      <c r="AU89" s="63"/>
      <c r="AV89" s="63"/>
      <c r="AW89" s="63"/>
    </row>
    <row r="90" spans="46:49">
      <c r="AT90" s="63"/>
      <c r="AU90" s="63"/>
      <c r="AV90" s="63"/>
      <c r="AW90" s="63"/>
    </row>
    <row r="91" spans="46:49">
      <c r="AT91" s="63"/>
      <c r="AU91" s="63"/>
      <c r="AV91" s="63"/>
      <c r="AW91" s="63"/>
    </row>
    <row r="92" spans="46:49">
      <c r="AT92" s="63"/>
      <c r="AU92" s="63"/>
      <c r="AV92" s="63"/>
      <c r="AW92" s="63"/>
    </row>
    <row r="93" spans="46:49">
      <c r="AT93" s="63"/>
      <c r="AU93" s="63"/>
      <c r="AV93" s="63"/>
      <c r="AW93" s="63"/>
    </row>
    <row r="94" spans="46:49">
      <c r="AT94" s="63"/>
      <c r="AU94" s="63"/>
      <c r="AV94" s="63"/>
      <c r="AW94" s="63"/>
    </row>
    <row r="95" spans="46:49">
      <c r="AT95" s="63"/>
      <c r="AU95" s="63"/>
      <c r="AV95" s="63"/>
      <c r="AW95" s="63"/>
    </row>
    <row r="96" spans="46:49">
      <c r="AT96" s="63"/>
      <c r="AU96" s="63"/>
      <c r="AV96" s="63"/>
      <c r="AW96" s="63"/>
    </row>
    <row r="97" spans="46:49">
      <c r="AT97" s="63"/>
      <c r="AU97" s="63"/>
      <c r="AV97" s="63"/>
      <c r="AW97" s="63"/>
    </row>
    <row r="98" spans="46:49">
      <c r="AT98" s="63"/>
      <c r="AU98" s="63"/>
      <c r="AV98" s="63"/>
      <c r="AW98" s="63"/>
    </row>
    <row r="99" spans="46:49">
      <c r="AT99" s="63"/>
      <c r="AU99" s="63"/>
      <c r="AV99" s="63"/>
      <c r="AW99" s="63"/>
    </row>
    <row r="100" spans="46:49">
      <c r="AT100" s="63"/>
      <c r="AU100" s="63"/>
      <c r="AV100" s="63"/>
      <c r="AW100" s="63"/>
    </row>
    <row r="101" spans="46:49">
      <c r="AT101" s="63"/>
      <c r="AU101" s="63"/>
      <c r="AV101" s="63"/>
      <c r="AW101" s="63"/>
    </row>
    <row r="102" spans="46:49">
      <c r="AT102" s="63"/>
      <c r="AU102" s="63"/>
      <c r="AV102" s="63"/>
      <c r="AW102" s="63"/>
    </row>
    <row r="103" spans="46:49">
      <c r="AT103" s="63"/>
      <c r="AU103" s="63"/>
      <c r="AV103" s="63"/>
      <c r="AW103" s="63"/>
    </row>
    <row r="104" spans="46:49">
      <c r="AT104" s="63"/>
      <c r="AU104" s="63"/>
      <c r="AV104" s="63"/>
      <c r="AW104" s="63"/>
    </row>
    <row r="105" spans="46:49">
      <c r="AT105" s="63"/>
      <c r="AU105" s="63"/>
      <c r="AV105" s="63"/>
      <c r="AW105" s="63"/>
    </row>
    <row r="106" spans="46:49">
      <c r="AT106" s="63"/>
      <c r="AU106" s="63"/>
      <c r="AV106" s="63"/>
      <c r="AW106" s="63"/>
    </row>
    <row r="107" spans="46:49">
      <c r="AT107" s="63"/>
      <c r="AU107" s="63"/>
      <c r="AV107" s="63"/>
      <c r="AW107" s="63"/>
    </row>
    <row r="108" spans="46:49">
      <c r="AT108" s="63"/>
      <c r="AU108" s="63"/>
      <c r="AV108" s="63"/>
      <c r="AW108" s="63"/>
    </row>
    <row r="109" spans="46:49">
      <c r="AT109" s="63"/>
      <c r="AU109" s="63"/>
      <c r="AV109" s="63"/>
      <c r="AW109" s="63"/>
    </row>
    <row r="110" spans="46:49">
      <c r="AT110" s="63"/>
      <c r="AU110" s="63"/>
      <c r="AV110" s="63"/>
      <c r="AW110" s="63"/>
    </row>
    <row r="111" spans="46:49">
      <c r="AT111" s="63"/>
      <c r="AU111" s="63"/>
      <c r="AV111" s="63"/>
      <c r="AW111" s="63"/>
    </row>
  </sheetData>
  <sheetProtection algorithmName="SHA-512" hashValue="OGkwuUQr19CUcZByr/Q3gAgPMr8AtDnygm1P0ONaGXOCAAAH2hTujnjvem8ILqNOz2Bgtz6rH1GcX0zf97jZxA==" saltValue="BirKKfpcXqSB8/6pHTsPHA==" spinCount="100000" sheet="1" objects="1" scenarios="1"/>
  <sortState ref="A15:BT30">
    <sortCondition ref="B15:B30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2</vt:i4>
      </vt:variant>
    </vt:vector>
  </HeadingPairs>
  <TitlesOfParts>
    <vt:vector size="5" baseType="lpstr">
      <vt:lpstr>Fiche GT</vt:lpstr>
      <vt:lpstr>Fiche PRO</vt:lpstr>
      <vt:lpstr>Base_lyc</vt:lpstr>
      <vt:lpstr>'Fiche GT'!Zone_d_impression</vt:lpstr>
      <vt:lpstr>'Fiche PRO'!Zone_d_impression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iioet_lrossignol</dc:creator>
  <cp:lastModifiedBy>dbroustet</cp:lastModifiedBy>
  <cp:lastPrinted>2023-02-15T22:57:41Z</cp:lastPrinted>
  <dcterms:created xsi:type="dcterms:W3CDTF">2009-10-09T10:01:11Z</dcterms:created>
  <dcterms:modified xsi:type="dcterms:W3CDTF">2023-06-02T05:52:07Z</dcterms:modified>
</cp:coreProperties>
</file>