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SEP_Interne\INDICATEURS\Tableaux de bord 2023\"/>
    </mc:Choice>
  </mc:AlternateContent>
  <bookViews>
    <workbookView xWindow="42960" yWindow="0" windowWidth="19200" windowHeight="11745" tabRatio="778"/>
  </bookViews>
  <sheets>
    <sheet name="Fiche clg" sheetId="138" r:id="rId1"/>
    <sheet name="Base_clg" sheetId="151" r:id="rId2"/>
  </sheets>
  <definedNames>
    <definedName name="_xlnm._FilterDatabase" localSheetId="1" hidden="1">Base_clg!$A$1:$CX$56</definedName>
    <definedName name="abs_coll_av_eff">#REF!</definedName>
    <definedName name="Abs_coll_avc_eff">#REF!</definedName>
    <definedName name="absentéisme_collèges_avec_effectifs">#REF!</definedName>
    <definedName name="Class">#REF!</definedName>
    <definedName name="Etablissement_Code">#REF!</definedName>
    <definedName name="faits_par_étab_2015_2016">#REF!</definedName>
    <definedName name="ids_lp_2015_2016">#REF!</definedName>
    <definedName name="ids_lycées_publics">#REF!</definedName>
    <definedName name="LP_abs1516">#REF!</definedName>
    <definedName name="lp_absentéisme_2015_2016">#REF!</definedName>
    <definedName name="lycées_absentéisme_2015_2016">#REF!</definedName>
    <definedName name="Moyenne_CCF_par_Etab">#REF!</definedName>
    <definedName name="moyenne_ccf_par_étab">#REF!</definedName>
    <definedName name="moyenne_ep_par_étab">#REF!</definedName>
    <definedName name="nuages">#REF!</definedName>
    <definedName name="_xlnm.Print_Area" localSheetId="0">'Fiche clg'!$B$1:$H$137</definedName>
  </definedNames>
  <calcPr calcId="162913"/>
  <fileRecoveryPr autoRecover="0"/>
</workbook>
</file>

<file path=xl/calcChain.xml><?xml version="1.0" encoding="utf-8"?>
<calcChain xmlns="http://schemas.openxmlformats.org/spreadsheetml/2006/main">
  <c r="CU3" i="151" l="1"/>
  <c r="CU4" i="151"/>
  <c r="CU5" i="151"/>
  <c r="CU6" i="151"/>
  <c r="CU7" i="151"/>
  <c r="CU8" i="151"/>
  <c r="CU9" i="151"/>
  <c r="CU10" i="151"/>
  <c r="CU11" i="151"/>
  <c r="CU12" i="151"/>
  <c r="CU13" i="151"/>
  <c r="CU14" i="151"/>
  <c r="CU15" i="151"/>
  <c r="CU16" i="151"/>
  <c r="CU17" i="151"/>
  <c r="CU18" i="151"/>
  <c r="CU19" i="151"/>
  <c r="CU20" i="151"/>
  <c r="CU21" i="151"/>
  <c r="CU22" i="151"/>
  <c r="CU23" i="151"/>
  <c r="CU24" i="151"/>
  <c r="CU25" i="151"/>
  <c r="CU26" i="151"/>
  <c r="CU27" i="151"/>
  <c r="CU28" i="151"/>
  <c r="CU29" i="151"/>
  <c r="CU30" i="151"/>
  <c r="CU31" i="151"/>
  <c r="CU32" i="151"/>
  <c r="CU33" i="151"/>
  <c r="CU34" i="151"/>
  <c r="CU35" i="151"/>
  <c r="CU36" i="151"/>
  <c r="CU37" i="151"/>
  <c r="CU38" i="151"/>
  <c r="CU39" i="151"/>
  <c r="CU40" i="151"/>
  <c r="CU41" i="151"/>
  <c r="CU42" i="151"/>
  <c r="CU43" i="151"/>
  <c r="CU44" i="151"/>
  <c r="CU45" i="151"/>
  <c r="CU46" i="151"/>
  <c r="CU47" i="151"/>
  <c r="CU48" i="151"/>
  <c r="CU49" i="151"/>
  <c r="CU50" i="151"/>
  <c r="CU51" i="151"/>
  <c r="CU52" i="151"/>
  <c r="CU53" i="151"/>
  <c r="CU54" i="151"/>
  <c r="CU55" i="151"/>
  <c r="CU56" i="151"/>
  <c r="CU2" i="151"/>
  <c r="B3" i="138" l="1"/>
  <c r="H49" i="138" l="1"/>
  <c r="G49" i="138"/>
  <c r="F49" i="138"/>
  <c r="F78" i="138"/>
  <c r="G80" i="138"/>
  <c r="F79" i="138"/>
  <c r="F80" i="138"/>
  <c r="H78" i="138"/>
  <c r="H79" i="138"/>
  <c r="G78" i="138"/>
  <c r="H80" i="138"/>
  <c r="G79" i="138"/>
  <c r="F114" i="138"/>
  <c r="H112" i="138"/>
  <c r="G111" i="138"/>
  <c r="F110" i="138"/>
  <c r="H97" i="138"/>
  <c r="G96" i="138"/>
  <c r="H113" i="138"/>
  <c r="G112" i="138"/>
  <c r="F111" i="138"/>
  <c r="H98" i="138"/>
  <c r="G97" i="138"/>
  <c r="F96" i="138"/>
  <c r="H96" i="138"/>
  <c r="H114" i="138"/>
  <c r="G113" i="138"/>
  <c r="F112" i="138"/>
  <c r="H110" i="138"/>
  <c r="G98" i="138"/>
  <c r="F97" i="138"/>
  <c r="G114" i="138"/>
  <c r="F113" i="138"/>
  <c r="H111" i="138"/>
  <c r="G110" i="138"/>
  <c r="F98" i="138"/>
  <c r="P126" i="138"/>
  <c r="O126" i="138"/>
  <c r="K126" i="138"/>
  <c r="Q126" i="138"/>
  <c r="L126" i="138"/>
  <c r="R126" i="138"/>
  <c r="M126" i="138"/>
  <c r="S126" i="138"/>
  <c r="N126" i="138"/>
  <c r="T126" i="138"/>
  <c r="F3" i="138"/>
  <c r="F77" i="138"/>
  <c r="H95" i="138"/>
  <c r="G94" i="138"/>
  <c r="F93" i="138"/>
  <c r="H91" i="138"/>
  <c r="G66" i="138"/>
  <c r="F64" i="138"/>
  <c r="F92" i="138"/>
  <c r="G95" i="138"/>
  <c r="F94" i="138"/>
  <c r="H92" i="138"/>
  <c r="G91" i="138"/>
  <c r="F66" i="138"/>
  <c r="G77" i="138"/>
  <c r="G93" i="138"/>
  <c r="G64" i="138"/>
  <c r="H77" i="138"/>
  <c r="F95" i="138"/>
  <c r="H93" i="138"/>
  <c r="G92" i="138"/>
  <c r="F91" i="138"/>
  <c r="H64" i="138"/>
  <c r="H94" i="138"/>
  <c r="H66" i="138"/>
  <c r="H23" i="138"/>
  <c r="H52" i="138"/>
  <c r="G51" i="138"/>
  <c r="G52" i="138"/>
  <c r="F51" i="138"/>
  <c r="H51" i="138"/>
  <c r="F52" i="138"/>
  <c r="H24" i="138"/>
  <c r="H25" i="138"/>
  <c r="F46" i="138"/>
  <c r="G47" i="138"/>
  <c r="H48" i="138"/>
  <c r="G44" i="138"/>
  <c r="G63" i="138"/>
  <c r="G76" i="138"/>
  <c r="E24" i="138"/>
  <c r="E25" i="138"/>
  <c r="F45" i="138"/>
  <c r="G46" i="138"/>
  <c r="H47" i="138"/>
  <c r="F50" i="138"/>
  <c r="G90" i="138"/>
  <c r="F24" i="138"/>
  <c r="F25" i="138"/>
  <c r="G45" i="138"/>
  <c r="H46" i="138"/>
  <c r="F48" i="138"/>
  <c r="G50" i="138"/>
  <c r="G109" i="138"/>
  <c r="G24" i="138"/>
  <c r="G25" i="138"/>
  <c r="H45" i="138"/>
  <c r="F47" i="138"/>
  <c r="G48" i="138"/>
  <c r="H50" i="138"/>
  <c r="F23" i="138"/>
  <c r="E23" i="138"/>
  <c r="G23" i="138"/>
  <c r="J102" i="138" l="1"/>
  <c r="J57" i="138"/>
  <c r="J71" i="138" l="1"/>
</calcChain>
</file>

<file path=xl/sharedStrings.xml><?xml version="1.0" encoding="utf-8"?>
<sst xmlns="http://schemas.openxmlformats.org/spreadsheetml/2006/main" count="961" uniqueCount="321">
  <si>
    <t>Moyens de fonctionnement</t>
  </si>
  <si>
    <t>–</t>
  </si>
  <si>
    <t>– –</t>
  </si>
  <si>
    <t>+</t>
  </si>
  <si>
    <t>+ +</t>
  </si>
  <si>
    <t>Moyens importants</t>
  </si>
  <si>
    <t>Population favorisée</t>
  </si>
  <si>
    <t>Parcours des élèves</t>
  </si>
  <si>
    <t>Radar</t>
  </si>
  <si>
    <t>Réussite aux examens</t>
  </si>
  <si>
    <t>-</t>
  </si>
  <si>
    <t>9830356V</t>
  </si>
  <si>
    <t>Directeur de SEGPA :</t>
  </si>
  <si>
    <t>CPE :</t>
  </si>
  <si>
    <t>Gestionnaire :</t>
  </si>
  <si>
    <t>Principal(e) :</t>
  </si>
  <si>
    <t>Principal(e) adjoint(e) :</t>
  </si>
  <si>
    <t>Mme Patricia LE ROHELLEC</t>
  </si>
  <si>
    <t>Mme Christine PURNAMA</t>
  </si>
  <si>
    <t>M. Emmanuel DEHEEGER</t>
  </si>
  <si>
    <t>M. Jean-Paul GRÈS</t>
  </si>
  <si>
    <t>Effectifs d'élèves</t>
  </si>
  <si>
    <t>Effectifs d'élèves de niveau collège</t>
  </si>
  <si>
    <t>Effectifs d'élèves de l'enseignement adapté</t>
  </si>
  <si>
    <t>Effectifs d'élèves de niveau lycée PRO</t>
  </si>
  <si>
    <t>Proportion d'élèves en retard à l'entrée en 6ème (%)</t>
  </si>
  <si>
    <t>Etablissement</t>
  </si>
  <si>
    <t>Public</t>
  </si>
  <si>
    <t>Identification</t>
  </si>
  <si>
    <t xml:space="preserve">Nombre d'heures d'enseignement devant élèves, </t>
  </si>
  <si>
    <t>Taux de passage 3è/2de GT (%)</t>
  </si>
  <si>
    <t>Taux de passage 3è/2de PRO (%)</t>
  </si>
  <si>
    <t>Taux de passage 3è/CAP (%)</t>
  </si>
  <si>
    <t>Taux d'accès 6è/3è en 4 ans (%)</t>
  </si>
  <si>
    <t>Taux de redoublement 3è (%)</t>
  </si>
  <si>
    <t>Taux de réussite au DNB (%)</t>
  </si>
  <si>
    <t>Ressources humaines</t>
  </si>
  <si>
    <t>Proportion d'enseignants de statut territorial (%)</t>
  </si>
  <si>
    <t>Proportion d'enseignants titulaires (%)</t>
  </si>
  <si>
    <t>Ancienneté moyenne des enseignants (année)</t>
  </si>
  <si>
    <t>Âge moyen des enseignants (année)</t>
  </si>
  <si>
    <t>Mme Nelly DUPONT-SUTTY et</t>
  </si>
  <si>
    <t>M. Julien BUZENET</t>
  </si>
  <si>
    <t>Nouméa</t>
  </si>
  <si>
    <t>Commune :</t>
  </si>
  <si>
    <t>Taux de passage 3è/2nde GT</t>
  </si>
  <si>
    <t>Taux de réussite au DNB</t>
  </si>
  <si>
    <t>% d'enseignants titulaires</t>
  </si>
  <si>
    <t>Taux de redoublement 3è*</t>
  </si>
  <si>
    <t>E/D*</t>
  </si>
  <si>
    <t>% élèves en retard en 6è*</t>
  </si>
  <si>
    <t>9830004M</t>
  </si>
  <si>
    <t>9830007R</t>
  </si>
  <si>
    <t>9830008S</t>
  </si>
  <si>
    <t>9830009T</t>
  </si>
  <si>
    <t>9830010U</t>
  </si>
  <si>
    <t>9830259P</t>
  </si>
  <si>
    <t>9830260R</t>
  </si>
  <si>
    <t>9830263U</t>
  </si>
  <si>
    <t>9830264V</t>
  </si>
  <si>
    <t>9830265W</t>
  </si>
  <si>
    <t>9830266X</t>
  </si>
  <si>
    <t>9830277J</t>
  </si>
  <si>
    <t>9830278K</t>
  </si>
  <si>
    <t>9830295D</t>
  </si>
  <si>
    <t>9830297F</t>
  </si>
  <si>
    <t>9830298G</t>
  </si>
  <si>
    <t>9830304N</t>
  </si>
  <si>
    <t>9830313Y</t>
  </si>
  <si>
    <t>9830354T</t>
  </si>
  <si>
    <t>9830355U</t>
  </si>
  <si>
    <t>9830357W</t>
  </si>
  <si>
    <t>9830381X</t>
  </si>
  <si>
    <t>9830382Y</t>
  </si>
  <si>
    <t>9830384A</t>
  </si>
  <si>
    <t>9830392J</t>
  </si>
  <si>
    <t>9830400T</t>
  </si>
  <si>
    <t>9830414H</t>
  </si>
  <si>
    <t>9830418M</t>
  </si>
  <si>
    <t>9830419N</t>
  </si>
  <si>
    <t>9830420P</t>
  </si>
  <si>
    <t>9830431B</t>
  </si>
  <si>
    <t>9830432C</t>
  </si>
  <si>
    <t>9830447U</t>
  </si>
  <si>
    <t>9830472W</t>
  </si>
  <si>
    <t>9830474Y</t>
  </si>
  <si>
    <t>9830477B</t>
  </si>
  <si>
    <t>9830482G</t>
  </si>
  <si>
    <t>9830493U</t>
  </si>
  <si>
    <t>9830518W</t>
  </si>
  <si>
    <t>9830522A</t>
  </si>
  <si>
    <t>9830524C</t>
  </si>
  <si>
    <t>9830538T</t>
  </si>
  <si>
    <t>9830616C</t>
  </si>
  <si>
    <t>9830624L</t>
  </si>
  <si>
    <t>9830625M</t>
  </si>
  <si>
    <t>9830626N</t>
  </si>
  <si>
    <t>9830632V</t>
  </si>
  <si>
    <t>9830639C</t>
  </si>
  <si>
    <t>9830640D</t>
  </si>
  <si>
    <t>9830649N</t>
  </si>
  <si>
    <t>9830656W</t>
  </si>
  <si>
    <t>9830681Y</t>
  </si>
  <si>
    <t>9830691J</t>
  </si>
  <si>
    <t>Privé</t>
  </si>
  <si>
    <t>par élève - niveau collège hors SEGPA et ULIS (H/E)</t>
  </si>
  <si>
    <t>Nombre d'élèves par division - niveau collège</t>
  </si>
  <si>
    <t>hors SEGPA et ULIS  (E/D)</t>
  </si>
  <si>
    <t>Rne - N° Etablissement</t>
  </si>
  <si>
    <t>Secteur (PU / PR)</t>
  </si>
  <si>
    <t>Appellation - Sigle</t>
  </si>
  <si>
    <t>Commune</t>
  </si>
  <si>
    <t xml:space="preserve">CLG           </t>
  </si>
  <si>
    <t xml:space="preserve">CLG PR        </t>
  </si>
  <si>
    <t>Poindimié</t>
  </si>
  <si>
    <t>La Foa</t>
  </si>
  <si>
    <t>Mont-Dore</t>
  </si>
  <si>
    <t>Païta</t>
  </si>
  <si>
    <t>Bourail</t>
  </si>
  <si>
    <t>Ouvéa</t>
  </si>
  <si>
    <t>Houaïlou</t>
  </si>
  <si>
    <t>Pouébo</t>
  </si>
  <si>
    <t>Koné</t>
  </si>
  <si>
    <t>Thio</t>
  </si>
  <si>
    <t>Ponerihouen</t>
  </si>
  <si>
    <t>Île des Pins</t>
  </si>
  <si>
    <t>Maré</t>
  </si>
  <si>
    <t>Lifou</t>
  </si>
  <si>
    <t>Kaala-Gomen</t>
  </si>
  <si>
    <t>Canala</t>
  </si>
  <si>
    <t>Voh</t>
  </si>
  <si>
    <t>Dumbéa</t>
  </si>
  <si>
    <t>Yaté</t>
  </si>
  <si>
    <t>Poum</t>
  </si>
  <si>
    <t>Ouégoa</t>
  </si>
  <si>
    <t>Poya</t>
  </si>
  <si>
    <t>Hienghène</t>
  </si>
  <si>
    <t xml:space="preserve">9830356V : Collège de Magenta                    </t>
  </si>
  <si>
    <t>RNE + dénomination</t>
  </si>
  <si>
    <t>9830004M : Collège Georges Baudoux</t>
  </si>
  <si>
    <t>9830007R : Collège de Koumac</t>
  </si>
  <si>
    <t>9830008S : Collège Raymond Vauthier</t>
  </si>
  <si>
    <t>9830009T : Collège Théodore Kawa Braïno</t>
  </si>
  <si>
    <t>9830010U : Collège Louis Leopold Djiet</t>
  </si>
  <si>
    <t>9830259P : Collège privé Champagnat (DDEC)</t>
  </si>
  <si>
    <t>9830260R : Collège privé Saint Joseph de Cluny (DDEC)</t>
  </si>
  <si>
    <t>9830263U : Collège privé de la Conception (DDEC)</t>
  </si>
  <si>
    <t>9830264V : Collège privé Sainte Marie  (DDEC)</t>
  </si>
  <si>
    <t>9830265W : Collège privé Sacré-Coeur (DDEC)</t>
  </si>
  <si>
    <t>9830266X : Collège privé Guillaume Douarre (DDEC)</t>
  </si>
  <si>
    <t>9830277J : Collège Jean Mariotti</t>
  </si>
  <si>
    <t>9830278K : Collège de Koné</t>
  </si>
  <si>
    <t>9830295D : Collège privé de Havila (ASEE)</t>
  </si>
  <si>
    <t>9830297F : Collège privé Hyppolyte Bonou (DDEC)</t>
  </si>
  <si>
    <t>9830298G : Collège privé Francis Rouge (DDEC)</t>
  </si>
  <si>
    <t>9830304N : Collège de la Riviere Salée</t>
  </si>
  <si>
    <t>9830313Y : Collège privé Yves Marie Hily (DDEC)</t>
  </si>
  <si>
    <t>9830354T : Collège privé de Vao (DDEC)</t>
  </si>
  <si>
    <t>9830355U : Collège la Colline</t>
  </si>
  <si>
    <t>9830381X : Collège privé Saint Dominique Savio (DDEC)</t>
  </si>
  <si>
    <t>9830382Y : Collège privé Jean-Baptiste Vigouroux (DDEC)</t>
  </si>
  <si>
    <t>9830384A : Collège de Boulari</t>
  </si>
  <si>
    <t>9830392J : Collège privé de Taremen (ASEE)</t>
  </si>
  <si>
    <t>9830400T : Collège privé de Hnathalo  (DDEC)</t>
  </si>
  <si>
    <t>9830414H : Collège de Tadine</t>
  </si>
  <si>
    <t>9830418M : Collège de Wani</t>
  </si>
  <si>
    <t>9830419N : Collège de Canala + GOD de Kouaoua</t>
  </si>
  <si>
    <t>9830420P : Collège privé Hnaizianu (ASEE)</t>
  </si>
  <si>
    <t>9830431B : Collège privé de Baganda (ASEE)</t>
  </si>
  <si>
    <t>9830432C : Collège privé de Tieta  (FELP)</t>
  </si>
  <si>
    <t>9830447U : Collège privé Eben Eza (ASEE)</t>
  </si>
  <si>
    <t>9830472W : Collège privé de Mou (FELP)</t>
  </si>
  <si>
    <t>9830474Y : Collège Francis Carco (Koutio)</t>
  </si>
  <si>
    <t>9830477B : Collège de Yaté</t>
  </si>
  <si>
    <t>9830482G : Collège de la Roche</t>
  </si>
  <si>
    <t>9830493U : Collège Essau Voudjo</t>
  </si>
  <si>
    <t>9830518W : Collège privé Boaouva Kaleba (ASEE)</t>
  </si>
  <si>
    <t>9830522A : Collège Pai-Kaileone</t>
  </si>
  <si>
    <t>9830524C : Collège de Kaméré</t>
  </si>
  <si>
    <t>9830538T : Collège de Normandie</t>
  </si>
  <si>
    <t>9830616C : Collège Louise Michèle (paita sud)</t>
  </si>
  <si>
    <t>9830624L : Collège de Plum</t>
  </si>
  <si>
    <t>9830625M : Collège des Portes de Fer</t>
  </si>
  <si>
    <t>9830626N : Collège Jean Fayard (Katiramona)</t>
  </si>
  <si>
    <t>9830632V : Collège de Ouégoa</t>
  </si>
  <si>
    <t>9830639C : Collège Shea Tiaou</t>
  </si>
  <si>
    <t>9830640D : Collège Edmée Varin (Auteuil)</t>
  </si>
  <si>
    <t>9830649N : Collège Tuband</t>
  </si>
  <si>
    <t>9830656W : Collège Ondemia (Païta nord)</t>
  </si>
  <si>
    <t>9830681Y : Collège Dumbéa sur Mer</t>
  </si>
  <si>
    <t>9830691J : Collège de Païamboué</t>
  </si>
  <si>
    <t>eff_niv_clg_2012</t>
  </si>
  <si>
    <t>eff_segpa_2012</t>
  </si>
  <si>
    <t>eff_pro_2012</t>
  </si>
  <si>
    <t>pcs_def_etab</t>
  </si>
  <si>
    <t>pcs_def_sec</t>
  </si>
  <si>
    <t>pcs_def_aca</t>
  </si>
  <si>
    <t>pcs_tfav_etab</t>
  </si>
  <si>
    <t>pcs_tfav_sec</t>
  </si>
  <si>
    <t>pcs_tfav_aca</t>
  </si>
  <si>
    <t>ips_etab</t>
  </si>
  <si>
    <t>ips_sec</t>
  </si>
  <si>
    <t>ips_aca</t>
  </si>
  <si>
    <t>retard_etab</t>
  </si>
  <si>
    <t>retard_sec</t>
  </si>
  <si>
    <t>retard_aca</t>
  </si>
  <si>
    <t>h/e_etab</t>
  </si>
  <si>
    <t>h/e_sec</t>
  </si>
  <si>
    <t>h/e_aca</t>
  </si>
  <si>
    <t>e/d_etab</t>
  </si>
  <si>
    <t>e/d_sec</t>
  </si>
  <si>
    <t>e/d_aca</t>
  </si>
  <si>
    <t>pas_3è-gt_etab</t>
  </si>
  <si>
    <t>pas_3è-gt_sec</t>
  </si>
  <si>
    <t>pas_3è-gt_aca</t>
  </si>
  <si>
    <t>pas_3è-pro_etab</t>
  </si>
  <si>
    <t>pas_3è-pro_sec</t>
  </si>
  <si>
    <t>pas_3è-pro_aca</t>
  </si>
  <si>
    <t>pas_3è-cap_etab</t>
  </si>
  <si>
    <t>pas_3è-cap_sec</t>
  </si>
  <si>
    <t>pas_3è-cap_aca</t>
  </si>
  <si>
    <t>acc6-3è_etab</t>
  </si>
  <si>
    <t>acc6-3è_sec</t>
  </si>
  <si>
    <t>acc6-3è_aca</t>
  </si>
  <si>
    <t>red3è_etab</t>
  </si>
  <si>
    <t>red3è_sec</t>
  </si>
  <si>
    <t>red3è_aca</t>
  </si>
  <si>
    <t>ens_terr_etab</t>
  </si>
  <si>
    <t>ens_terr_sec</t>
  </si>
  <si>
    <t>ens_terr_aca</t>
  </si>
  <si>
    <t>ens_tit_etab</t>
  </si>
  <si>
    <t>ens_tit_sec</t>
  </si>
  <si>
    <t>ens_tit_aca</t>
  </si>
  <si>
    <t>anc_etab</t>
  </si>
  <si>
    <t>anc_sec</t>
  </si>
  <si>
    <t>anc_aca</t>
  </si>
  <si>
    <t>age_etab</t>
  </si>
  <si>
    <t>age_sec</t>
  </si>
  <si>
    <t>age_aca</t>
  </si>
  <si>
    <t>Parcours plus performant</t>
  </si>
  <si>
    <r>
      <t xml:space="preserve">Population défavorisée </t>
    </r>
    <r>
      <rPr>
        <b/>
        <sz val="8"/>
        <rFont val="Arial"/>
        <family val="2"/>
      </rPr>
      <t>(classement des établissements publics et privés)</t>
    </r>
  </si>
  <si>
    <r>
      <t xml:space="preserve">Moyens faibles </t>
    </r>
    <r>
      <rPr>
        <b/>
        <sz val="8"/>
        <rFont val="Arial"/>
        <family val="2"/>
      </rPr>
      <t>(classement des établissements publics et privés)</t>
    </r>
  </si>
  <si>
    <r>
      <t xml:space="preserve">Parcours moins performant </t>
    </r>
    <r>
      <rPr>
        <b/>
        <sz val="8"/>
        <rFont val="Arial"/>
        <family val="2"/>
      </rPr>
      <t>(classement des établissements publics et privés)</t>
    </r>
  </si>
  <si>
    <t>* Inversé</t>
  </si>
  <si>
    <t>Public + privé</t>
  </si>
  <si>
    <t>&lt;= Sélectionner l'établissement dans la liste déroulante (cliquer sur la flèche indiquant vers le bas)</t>
  </si>
  <si>
    <t>9830698S : Collège Apogoti</t>
  </si>
  <si>
    <t>9830698S</t>
  </si>
  <si>
    <t>Ecart taux de réussite des PCS défavorisées (points)</t>
  </si>
  <si>
    <t>9830357W : Collège Laura Boula + GOD de Mou</t>
  </si>
  <si>
    <t>écartmoydnb_etab</t>
  </si>
  <si>
    <t>écartmoydnb_sec</t>
  </si>
  <si>
    <t>écartmoydnb_aca</t>
  </si>
  <si>
    <t>Note moyenne au socle du DNB (sur 20)</t>
  </si>
  <si>
    <t>Note moyenne à l'écrit du DNB (sur 20)</t>
  </si>
  <si>
    <t>maitrise_fr_etab</t>
  </si>
  <si>
    <t>maitrise_fr_sec</t>
  </si>
  <si>
    <t>maitrise_fr_aca</t>
  </si>
  <si>
    <t>maitrise_maths_etab</t>
  </si>
  <si>
    <t>maitrise_maths_sec</t>
  </si>
  <si>
    <t>maitrise_maths_aca</t>
  </si>
  <si>
    <t>Indice de position sociale niveau collège hors SEGPA</t>
  </si>
  <si>
    <t>ie_etab</t>
  </si>
  <si>
    <t>ie_sec</t>
  </si>
  <si>
    <t>ie_aca</t>
  </si>
  <si>
    <t>Indice de position sociale</t>
  </si>
  <si>
    <t>Indice d'éloignement</t>
  </si>
  <si>
    <t>Indice d'éloignement*</t>
  </si>
  <si>
    <t>Contexte scolaire</t>
  </si>
  <si>
    <t>Note moyenne à la soutenance orale de projet (sur 20)</t>
  </si>
  <si>
    <t>réussite_dnb_etab</t>
  </si>
  <si>
    <t>réussite_dnb_sec</t>
  </si>
  <si>
    <t>réussite_dnb_aca</t>
  </si>
  <si>
    <t>écartdef_etab</t>
  </si>
  <si>
    <t>écartdef_sec</t>
  </si>
  <si>
    <t>écartdef_aca</t>
  </si>
  <si>
    <t>moyecrit_etab</t>
  </si>
  <si>
    <t>moyecrit_sec</t>
  </si>
  <si>
    <t>moyecrit_aca</t>
  </si>
  <si>
    <t>oraldnb_etab</t>
  </si>
  <si>
    <t>oraldnb_sec</t>
  </si>
  <si>
    <t>oraldnb_aca</t>
  </si>
  <si>
    <t>moysocle_etab</t>
  </si>
  <si>
    <t>moysocle_sec</t>
  </si>
  <si>
    <t>moysocle_aca</t>
  </si>
  <si>
    <t>devenirGT_etab</t>
  </si>
  <si>
    <t>devenirGT_sec</t>
  </si>
  <si>
    <t>devenirGT_aca</t>
  </si>
  <si>
    <t>devenirPRO_etab</t>
  </si>
  <si>
    <t>devenirPRO_sec</t>
  </si>
  <si>
    <t>devenirPRO_aca</t>
  </si>
  <si>
    <t>devenirCAP_etab</t>
  </si>
  <si>
    <t>devenirCAP_sec</t>
  </si>
  <si>
    <t>devenirCAP_aca</t>
  </si>
  <si>
    <t>Orientation en 1ère GT des élèves de 3ème en fin de 2nde GT</t>
  </si>
  <si>
    <t>Orientation en 1ère PRO des élèves de 3ème en fin de 2nde PRO</t>
  </si>
  <si>
    <t>Orientation en 2è année de CAP des élèves de 3ème en fin de 1ère année de CAP</t>
  </si>
  <si>
    <t>Proportion d'élèves issus de PCS défavorisées (%)</t>
  </si>
  <si>
    <t>Proportion d'élèves issus de PCS très favorisées (%)</t>
  </si>
  <si>
    <t>eff_niv_clg_2022</t>
  </si>
  <si>
    <t>eff_segpa_2022</t>
  </si>
  <si>
    <t>eff_pro_2022</t>
  </si>
  <si>
    <t>boursier_etab</t>
  </si>
  <si>
    <t>boursier_sec</t>
  </si>
  <si>
    <t>boursier_aca</t>
  </si>
  <si>
    <t>Taux de boursiers niveau collège hors SEGPA</t>
  </si>
  <si>
    <t>eff_niv_clg_2023</t>
  </si>
  <si>
    <t>eff_segpa_2023</t>
  </si>
  <si>
    <t>eff_pro_2023</t>
  </si>
  <si>
    <t>Koumac</t>
  </si>
  <si>
    <t>eff_niv_clg_2024</t>
  </si>
  <si>
    <t>eff_segpa_2024</t>
  </si>
  <si>
    <t>eff_pro_2024</t>
  </si>
  <si>
    <t>Année 2023</t>
  </si>
  <si>
    <t>Années 2022-2023</t>
  </si>
  <si>
    <t>Proportion d'élèves entrant en 6è ayant un bas niveau en français (%)</t>
  </si>
  <si>
    <t>Proportion d'élèves entrant en 6è ayant un bas niveau en mathématiques (%)</t>
  </si>
  <si>
    <t>Maîtrise du français*</t>
  </si>
  <si>
    <t>Maîtrise des mathématiques*</t>
  </si>
  <si>
    <t>Bas niveau en français en 6è*</t>
  </si>
  <si>
    <t>Bas niveau en mathématiques en 6è*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</si>
</sst>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0.000"/>
  </numFmts>
  <fonts count="4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Unicode MS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2"/>
      <color theme="9" tint="-0.249977111117893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color theme="0" tint="-0.24997711111789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2" borderId="1" applyNumberFormat="0" applyAlignment="0" applyProtection="0"/>
    <xf numFmtId="0" fontId="15" fillId="0" borderId="2" applyNumberFormat="0" applyFill="0" applyAlignment="0" applyProtection="0"/>
    <xf numFmtId="0" fontId="8" fillId="6" borderId="3" applyNumberFormat="0" applyFont="0" applyAlignment="0" applyProtection="0"/>
    <xf numFmtId="0" fontId="16" fillId="8" borderId="1" applyNumberFormat="0" applyAlignment="0" applyProtection="0"/>
    <xf numFmtId="0" fontId="17" fillId="5" borderId="0" applyNumberFormat="0" applyBorder="0" applyAlignment="0" applyProtection="0"/>
    <xf numFmtId="0" fontId="18" fillId="11" borderId="0" applyNumberFormat="0" applyBorder="0" applyAlignment="0" applyProtection="0"/>
    <xf numFmtId="0" fontId="9" fillId="0" borderId="0"/>
    <xf numFmtId="0" fontId="19" fillId="7" borderId="0" applyNumberFormat="0" applyBorder="0" applyAlignment="0" applyProtection="0"/>
    <xf numFmtId="0" fontId="20" fillId="22" borderId="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23" borderId="9" applyNumberFormat="0" applyAlignment="0" applyProtection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28" fillId="0" borderId="0"/>
    <xf numFmtId="9" fontId="9" fillId="0" borderId="0" applyFont="0" applyFill="0" applyBorder="0" applyAlignment="0" applyProtection="0"/>
    <xf numFmtId="0" fontId="8" fillId="0" borderId="0"/>
    <xf numFmtId="0" fontId="29" fillId="0" borderId="0"/>
    <xf numFmtId="164" fontId="8" fillId="0" borderId="0" applyFont="0" applyFill="0" applyBorder="0" applyAlignment="0" applyProtection="0"/>
    <xf numFmtId="0" fontId="6" fillId="0" borderId="0"/>
    <xf numFmtId="0" fontId="30" fillId="0" borderId="0"/>
    <xf numFmtId="0" fontId="31" fillId="0" borderId="0"/>
    <xf numFmtId="0" fontId="9" fillId="0" borderId="0"/>
    <xf numFmtId="0" fontId="5" fillId="0" borderId="0"/>
    <xf numFmtId="0" fontId="32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34" fillId="0" borderId="0"/>
    <xf numFmtId="0" fontId="4" fillId="0" borderId="0"/>
    <xf numFmtId="0" fontId="35" fillId="0" borderId="0"/>
    <xf numFmtId="0" fontId="36" fillId="0" borderId="0"/>
    <xf numFmtId="0" fontId="3" fillId="0" borderId="0"/>
    <xf numFmtId="0" fontId="2" fillId="0" borderId="0"/>
    <xf numFmtId="0" fontId="9" fillId="0" borderId="0"/>
    <xf numFmtId="0" fontId="3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9" fillId="0" borderId="0" xfId="0" applyFont="1"/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/>
    <xf numFmtId="0" fontId="10" fillId="0" borderId="10" xfId="0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0" fillId="0" borderId="0" xfId="0" applyFont="1" applyAlignment="1">
      <alignment vertical="top"/>
    </xf>
    <xf numFmtId="0" fontId="40" fillId="0" borderId="0" xfId="0" applyFont="1" applyAlignment="1">
      <alignment vertical="center"/>
    </xf>
    <xf numFmtId="0" fontId="41" fillId="25" borderId="0" xfId="0" quotePrefix="1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Fill="1" applyAlignment="1">
      <alignment horizont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33" fillId="0" borderId="0" xfId="0" applyFont="1"/>
    <xf numFmtId="0" fontId="39" fillId="0" borderId="0" xfId="0" applyFont="1"/>
    <xf numFmtId="3" fontId="9" fillId="0" borderId="12" xfId="0" applyNumberFormat="1" applyFont="1" applyFill="1" applyBorder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2" fillId="0" borderId="0" xfId="0" applyFont="1"/>
    <xf numFmtId="0" fontId="9" fillId="24" borderId="0" xfId="0" applyFont="1" applyFill="1"/>
    <xf numFmtId="0" fontId="10" fillId="24" borderId="0" xfId="0" applyFont="1" applyFill="1"/>
    <xf numFmtId="165" fontId="10" fillId="0" borderId="0" xfId="0" applyNumberFormat="1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165" fontId="9" fillId="0" borderId="0" xfId="0" applyNumberFormat="1" applyFont="1" applyFill="1"/>
    <xf numFmtId="0" fontId="9" fillId="0" borderId="0" xfId="0" quotePrefix="1" applyFont="1" applyFill="1" applyAlignment="1">
      <alignment horizontal="right"/>
    </xf>
    <xf numFmtId="0" fontId="39" fillId="0" borderId="0" xfId="0" applyFont="1" applyFill="1"/>
    <xf numFmtId="165" fontId="39" fillId="0" borderId="0" xfId="0" applyNumberFormat="1" applyFont="1" applyFill="1"/>
    <xf numFmtId="165" fontId="39" fillId="0" borderId="0" xfId="0" applyNumberFormat="1" applyFont="1" applyFill="1" applyAlignment="1">
      <alignment horizontal="center"/>
    </xf>
    <xf numFmtId="0" fontId="39" fillId="0" borderId="0" xfId="0" applyFont="1" applyFill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43" fillId="0" borderId="0" xfId="0" applyFont="1"/>
    <xf numFmtId="165" fontId="43" fillId="0" borderId="0" xfId="0" applyNumberFormat="1" applyFont="1" applyAlignment="1">
      <alignment horizontal="center"/>
    </xf>
    <xf numFmtId="0" fontId="44" fillId="0" borderId="0" xfId="0" applyFont="1"/>
    <xf numFmtId="165" fontId="9" fillId="24" borderId="1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166" fontId="39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165" fontId="9" fillId="0" borderId="0" xfId="0" applyNumberFormat="1" applyFont="1"/>
    <xf numFmtId="165" fontId="9" fillId="0" borderId="0" xfId="0" applyNumberFormat="1" applyFont="1" applyFill="1" applyAlignment="1">
      <alignment horizontal="right"/>
    </xf>
    <xf numFmtId="0" fontId="45" fillId="0" borderId="0" xfId="0" applyFont="1"/>
    <xf numFmtId="0" fontId="46" fillId="0" borderId="0" xfId="0" applyFont="1" applyFill="1"/>
    <xf numFmtId="0" fontId="39" fillId="0" borderId="0" xfId="0" applyFont="1" applyFill="1" applyAlignment="1">
      <alignment horizontal="right"/>
    </xf>
    <xf numFmtId="0" fontId="43" fillId="0" borderId="0" xfId="0" applyFont="1" applyFill="1"/>
    <xf numFmtId="165" fontId="43" fillId="0" borderId="0" xfId="0" applyNumberFormat="1" applyFont="1" applyFill="1"/>
    <xf numFmtId="165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right"/>
    </xf>
    <xf numFmtId="166" fontId="43" fillId="0" borderId="0" xfId="0" applyNumberFormat="1" applyFont="1" applyFill="1" applyAlignment="1">
      <alignment horizontal="center"/>
    </xf>
    <xf numFmtId="0" fontId="47" fillId="0" borderId="0" xfId="0" applyFont="1" applyFill="1"/>
    <xf numFmtId="165" fontId="47" fillId="0" borderId="0" xfId="0" applyNumberFormat="1" applyFont="1" applyFill="1"/>
    <xf numFmtId="165" fontId="47" fillId="0" borderId="0" xfId="0" applyNumberFormat="1" applyFont="1" applyFill="1" applyAlignment="1">
      <alignment horizontal="center"/>
    </xf>
    <xf numFmtId="0" fontId="47" fillId="0" borderId="0" xfId="0" applyFont="1" applyFill="1" applyAlignment="1">
      <alignment horizontal="right"/>
    </xf>
    <xf numFmtId="0" fontId="9" fillId="0" borderId="0" xfId="0" applyNumberFormat="1" applyFont="1" applyFill="1" applyAlignment="1">
      <alignment horizontal="right"/>
    </xf>
    <xf numFmtId="165" fontId="9" fillId="0" borderId="0" xfId="0" quotePrefix="1" applyNumberFormat="1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165" fontId="9" fillId="0" borderId="0" xfId="0" quotePrefix="1" applyNumberFormat="1" applyFont="1" applyFill="1"/>
    <xf numFmtId="0" fontId="9" fillId="0" borderId="0" xfId="0" applyNumberFormat="1" applyFont="1" applyFill="1"/>
    <xf numFmtId="165" fontId="9" fillId="0" borderId="0" xfId="0" applyNumberFormat="1" applyFont="1" applyFill="1" applyAlignment="1">
      <alignment horizontal="center" wrapText="1"/>
    </xf>
    <xf numFmtId="165" fontId="9" fillId="29" borderId="0" xfId="0" applyNumberFormat="1" applyFont="1" applyFill="1" applyAlignment="1">
      <alignment horizontal="right"/>
    </xf>
    <xf numFmtId="165" fontId="9" fillId="29" borderId="0" xfId="0" applyNumberFormat="1" applyFont="1" applyFill="1"/>
    <xf numFmtId="0" fontId="0" fillId="0" borderId="0" xfId="0" applyFill="1"/>
    <xf numFmtId="0" fontId="41" fillId="28" borderId="0" xfId="0" quotePrefix="1" applyFont="1" applyFill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0" fontId="41" fillId="26" borderId="0" xfId="0" quotePrefix="1" applyFont="1" applyFill="1" applyAlignment="1">
      <alignment horizontal="center" vertical="center"/>
    </xf>
    <xf numFmtId="0" fontId="41" fillId="26" borderId="0" xfId="0" applyFont="1" applyFill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41" fillId="27" borderId="0" xfId="0" quotePrefix="1" applyFont="1" applyFill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165" fontId="9" fillId="0" borderId="12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</cellXfs>
  <cellStyles count="71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Milliers 2" xfId="50"/>
    <cellStyle name="Milliers 3" xfId="69"/>
    <cellStyle name="Monétaire 2" xfId="43"/>
    <cellStyle name="Neutre 2" xfId="31"/>
    <cellStyle name="Normal" xfId="0" builtinId="0"/>
    <cellStyle name="Normal 10" xfId="55"/>
    <cellStyle name="Normal 11" xfId="56"/>
    <cellStyle name="Normal 11 2" xfId="57"/>
    <cellStyle name="Normal 12" xfId="58"/>
    <cellStyle name="Normal 13" xfId="60"/>
    <cellStyle name="Normal 14" xfId="61"/>
    <cellStyle name="Normal 14 2" xfId="64"/>
    <cellStyle name="Normal 15" xfId="62"/>
    <cellStyle name="Normal 16" xfId="63"/>
    <cellStyle name="Normal 17" xfId="65"/>
    <cellStyle name="Normal 18" xfId="68"/>
    <cellStyle name="Normal 2" xfId="32"/>
    <cellStyle name="Normal 2 2" xfId="48"/>
    <cellStyle name="Normal 2 3" xfId="67"/>
    <cellStyle name="Normal 3" xfId="44"/>
    <cellStyle name="Normal 3 2" xfId="66"/>
    <cellStyle name="Normal 4" xfId="45"/>
    <cellStyle name="Normal 5" xfId="46"/>
    <cellStyle name="Normal 6" xfId="49"/>
    <cellStyle name="Normal 7" xfId="51"/>
    <cellStyle name="Normal 8" xfId="52"/>
    <cellStyle name="Normal 9" xfId="53"/>
    <cellStyle name="Normal 9 2" xfId="54"/>
    <cellStyle name="Pourcentage 2" xfId="47"/>
    <cellStyle name="Pourcentage 3" xfId="59"/>
    <cellStyle name="Pourcentage 4" xfId="70"/>
    <cellStyle name="Satisfaisant 2" xfId="33"/>
    <cellStyle name="Sortie 2" xfId="34"/>
    <cellStyle name="Texte explicatif 2" xfId="35"/>
    <cellStyle name="Titre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collège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clg'!$E$22:$H$22</c:f>
              <c:numCache>
                <c:formatCode>General</c:formatCode>
                <c:ptCount val="4"/>
                <c:pt idx="0">
                  <c:v>2012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'Fiche clg'!$E$23:$H$23</c:f>
              <c:numCache>
                <c:formatCode>#,##0</c:formatCode>
                <c:ptCount val="4"/>
                <c:pt idx="0">
                  <c:v>648</c:v>
                </c:pt>
                <c:pt idx="1">
                  <c:v>497</c:v>
                </c:pt>
                <c:pt idx="2">
                  <c:v>446</c:v>
                </c:pt>
                <c:pt idx="3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4-4545-BE8F-6AF3B16B9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087360"/>
        <c:axId val="140105344"/>
      </c:barChart>
      <c:catAx>
        <c:axId val="15508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105344"/>
        <c:crosses val="autoZero"/>
        <c:auto val="1"/>
        <c:lblAlgn val="ctr"/>
        <c:lblOffset val="100"/>
        <c:noMultiLvlLbl val="0"/>
      </c:catAx>
      <c:valAx>
        <c:axId val="1401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08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971-449C-8E14-58B6E02C7549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971-449C-8E14-58B6E02C7549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971-449C-8E14-58B6E02C7549}"/>
              </c:ext>
            </c:extLst>
          </c:dPt>
          <c:xVal>
            <c:numRef>
              <c:f>'Fiche clg'!$I$71:$K$71</c:f>
            </c:numRef>
          </c:xVal>
          <c:yVal>
            <c:numRef>
              <c:f>'Fiche clg'!$I$72:$K$72</c:f>
            </c:numRef>
          </c:yVal>
          <c:smooth val="0"/>
          <c:extLst>
            <c:ext xmlns:c16="http://schemas.microsoft.com/office/drawing/2014/chart" uri="{C3380CC4-5D6E-409C-BE32-E72D297353CC}">
              <c16:uniqueId val="{00000003-2971-449C-8E14-58B6E02C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7072"/>
        <c:axId val="140274496"/>
      </c:scatterChart>
      <c:valAx>
        <c:axId val="14010707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274496"/>
        <c:crosses val="autoZero"/>
        <c:crossBetween val="midCat"/>
        <c:majorUnit val="0.2"/>
        <c:minorUnit val="0.1"/>
      </c:valAx>
      <c:valAx>
        <c:axId val="1402744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7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12F-4D3C-88BB-2B173903DF1E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12F-4D3C-88BB-2B173903DF1E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12F-4D3C-88BB-2B173903DF1E}"/>
              </c:ext>
            </c:extLst>
          </c:dPt>
          <c:xVal>
            <c:numRef>
              <c:f>'Fiche clg'!$I$71:$K$71</c:f>
            </c:numRef>
          </c:xVal>
          <c:yVal>
            <c:numRef>
              <c:f>'Fiche clg'!$I$72:$K$72</c:f>
            </c:numRef>
          </c:yVal>
          <c:smooth val="0"/>
          <c:extLst>
            <c:ext xmlns:c16="http://schemas.microsoft.com/office/drawing/2014/chart" uri="{C3380CC4-5D6E-409C-BE32-E72D297353CC}">
              <c16:uniqueId val="{00000003-212F-4D3C-88BB-2B173903D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78528"/>
        <c:axId val="140845056"/>
      </c:scatterChart>
      <c:valAx>
        <c:axId val="140278528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5056"/>
        <c:crosses val="autoZero"/>
        <c:crossBetween val="midCat"/>
        <c:majorUnit val="0.2"/>
        <c:minorUnit val="0.1"/>
      </c:valAx>
      <c:valAx>
        <c:axId val="1408450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27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742-43BC-905D-7885F36DB2A5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742-43BC-905D-7885F36DB2A5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742-43BC-905D-7885F36DB2A5}"/>
              </c:ext>
            </c:extLst>
          </c:dPt>
          <c:xVal>
            <c:numRef>
              <c:f>'Fiche clg'!$I$57:$K$57</c:f>
            </c:numRef>
          </c:xVal>
          <c:yVal>
            <c:numRef>
              <c:f>'Fiche clg'!$I$58:$K$58</c:f>
            </c:numRef>
          </c:yVal>
          <c:smooth val="0"/>
          <c:extLst>
            <c:ext xmlns:c16="http://schemas.microsoft.com/office/drawing/2014/chart" uri="{C3380CC4-5D6E-409C-BE32-E72D297353CC}">
              <c16:uniqueId val="{00000003-2742-43BC-905D-7885F36DB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6784"/>
        <c:axId val="140847360"/>
      </c:scatterChart>
      <c:valAx>
        <c:axId val="140846784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7360"/>
        <c:crosses val="autoZero"/>
        <c:crossBetween val="midCat"/>
        <c:majorUnit val="0.2"/>
        <c:minorUnit val="0.1"/>
      </c:valAx>
      <c:valAx>
        <c:axId val="140847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6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AAE-4C44-B65D-07EBF1B63BA2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AAE-4C44-B65D-07EBF1B63BA2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AAE-4C44-B65D-07EBF1B63BA2}"/>
              </c:ext>
            </c:extLst>
          </c:dPt>
          <c:xVal>
            <c:numRef>
              <c:f>'Fiche clg'!$I$57:$K$57</c:f>
            </c:numRef>
          </c:xVal>
          <c:yVal>
            <c:numRef>
              <c:f>'Fiche clg'!$I$58:$K$58</c:f>
            </c:numRef>
          </c:yVal>
          <c:smooth val="0"/>
          <c:extLst>
            <c:ext xmlns:c16="http://schemas.microsoft.com/office/drawing/2014/chart" uri="{C3380CC4-5D6E-409C-BE32-E72D297353CC}">
              <c16:uniqueId val="{00000003-3AAE-4C44-B65D-07EBF1B63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9088"/>
        <c:axId val="140850240"/>
      </c:scatterChart>
      <c:valAx>
        <c:axId val="14084908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850240"/>
        <c:crosses val="autoZero"/>
        <c:crossBetween val="midCat"/>
        <c:majorUnit val="0.2"/>
        <c:minorUnit val="0.1"/>
      </c:valAx>
      <c:valAx>
        <c:axId val="1408502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9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628-4A1D-9AC5-1E08AD247095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628-4A1D-9AC5-1E08AD247095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628-4A1D-9AC5-1E08AD247095}"/>
              </c:ext>
            </c:extLst>
          </c:dPt>
          <c:xVal>
            <c:numRef>
              <c:f>'Fiche clg'!$I$102:$K$102</c:f>
            </c:numRef>
          </c:xVal>
          <c:yVal>
            <c:numRef>
              <c:f>'Fiche clg'!$I$103:$K$103</c:f>
            </c:numRef>
          </c:yVal>
          <c:smooth val="0"/>
          <c:extLst>
            <c:ext xmlns:c16="http://schemas.microsoft.com/office/drawing/2014/chart" uri="{C3380CC4-5D6E-409C-BE32-E72D297353CC}">
              <c16:uniqueId val="{00000003-2628-4A1D-9AC5-1E08AD247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52544"/>
        <c:axId val="141303808"/>
      </c:scatterChart>
      <c:valAx>
        <c:axId val="140852544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1303808"/>
        <c:crosses val="autoZero"/>
        <c:crossBetween val="midCat"/>
        <c:majorUnit val="0.2"/>
        <c:minorUnit val="0.1"/>
      </c:valAx>
      <c:valAx>
        <c:axId val="141303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52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CFB-497B-8E28-556EA0BCFB2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CFB-497B-8E28-556EA0BCFB2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CFB-497B-8E28-556EA0BCFB2B}"/>
              </c:ext>
            </c:extLst>
          </c:dPt>
          <c:xVal>
            <c:numRef>
              <c:f>'Fiche clg'!$I$102:$K$102</c:f>
            </c:numRef>
          </c:xVal>
          <c:yVal>
            <c:numRef>
              <c:f>'Fiche clg'!$I$103:$K$103</c:f>
            </c:numRef>
          </c:yVal>
          <c:smooth val="0"/>
          <c:extLst>
            <c:ext xmlns:c16="http://schemas.microsoft.com/office/drawing/2014/chart" uri="{C3380CC4-5D6E-409C-BE32-E72D297353CC}">
              <c16:uniqueId val="{00000003-0CFB-497B-8E28-556EA0BC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05536"/>
        <c:axId val="141306112"/>
      </c:scatterChart>
      <c:valAx>
        <c:axId val="14130553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1306112"/>
        <c:crosses val="autoZero"/>
        <c:crossBetween val="midCat"/>
        <c:majorUnit val="0.2"/>
        <c:minorUnit val="0.1"/>
      </c:valAx>
      <c:valAx>
        <c:axId val="141306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130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661599328399467"/>
          <c:y val="0.21329332605563828"/>
          <c:w val="0.44325165075255507"/>
          <c:h val="0.58599042367049603"/>
        </c:manualLayout>
      </c:layout>
      <c:radarChart>
        <c:radarStyle val="marker"/>
        <c:varyColors val="0"/>
        <c:ser>
          <c:idx val="0"/>
          <c:order val="0"/>
          <c:tx>
            <c:strRef>
              <c:f>'Fiche clg'!$B$1</c:f>
              <c:strCache>
                <c:ptCount val="1"/>
                <c:pt idx="0">
                  <c:v>9830004M : Collège Georges Baudoux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clg'!$K$124:$T$124</c:f>
              <c:strCache>
                <c:ptCount val="10"/>
                <c:pt idx="0">
                  <c:v>Indice d'éloignement*</c:v>
                </c:pt>
                <c:pt idx="1">
                  <c:v>Indice de position sociale</c:v>
                </c:pt>
                <c:pt idx="2">
                  <c:v>E/D*</c:v>
                </c:pt>
                <c:pt idx="3">
                  <c:v>% élèves en retard en 6è*</c:v>
                </c:pt>
                <c:pt idx="4">
                  <c:v>Bas niveau en français en 6è*</c:v>
                </c:pt>
                <c:pt idx="5">
                  <c:v>Bas niveau en mathématiques en 6è*</c:v>
                </c:pt>
                <c:pt idx="6">
                  <c:v>Taux de réussite au DNB</c:v>
                </c:pt>
                <c:pt idx="7">
                  <c:v>Taux de passage 3è/2nde GT</c:v>
                </c:pt>
                <c:pt idx="8">
                  <c:v>Taux de redoublement 3è*</c:v>
                </c:pt>
                <c:pt idx="9">
                  <c:v>% d'enseignants titulaires</c:v>
                </c:pt>
              </c:strCache>
            </c:strRef>
          </c:cat>
          <c:val>
            <c:numRef>
              <c:f>'Fiche clg'!$K$126:$T$126</c:f>
              <c:numCache>
                <c:formatCode>0.0</c:formatCode>
                <c:ptCount val="10"/>
                <c:pt idx="0">
                  <c:v>3.5040745052386488</c:v>
                </c:pt>
                <c:pt idx="1">
                  <c:v>2.6175548589341693</c:v>
                </c:pt>
                <c:pt idx="2">
                  <c:v>-2.1088435374149648</c:v>
                </c:pt>
                <c:pt idx="3">
                  <c:v>-0.56074766355140204</c:v>
                </c:pt>
                <c:pt idx="4">
                  <c:v>2.0352035203520344</c:v>
                </c:pt>
                <c:pt idx="5">
                  <c:v>3.020833333333333</c:v>
                </c:pt>
                <c:pt idx="6">
                  <c:v>1.0591133004926101</c:v>
                </c:pt>
                <c:pt idx="7">
                  <c:v>2.5672645739910318</c:v>
                </c:pt>
                <c:pt idx="8">
                  <c:v>3.5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8-43C5-A255-9BF6483A463B}"/>
            </c:ext>
          </c:extLst>
        </c:ser>
        <c:ser>
          <c:idx val="1"/>
          <c:order val="1"/>
          <c:tx>
            <c:strRef>
              <c:f>'Fiche clg'!$J$127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clg'!$K$124:$T$124</c:f>
              <c:strCache>
                <c:ptCount val="10"/>
                <c:pt idx="0">
                  <c:v>Indice d'éloignement*</c:v>
                </c:pt>
                <c:pt idx="1">
                  <c:v>Indice de position sociale</c:v>
                </c:pt>
                <c:pt idx="2">
                  <c:v>E/D*</c:v>
                </c:pt>
                <c:pt idx="3">
                  <c:v>% élèves en retard en 6è*</c:v>
                </c:pt>
                <c:pt idx="4">
                  <c:v>Bas niveau en français en 6è*</c:v>
                </c:pt>
                <c:pt idx="5">
                  <c:v>Bas niveau en mathématiques en 6è*</c:v>
                </c:pt>
                <c:pt idx="6">
                  <c:v>Taux de réussite au DNB</c:v>
                </c:pt>
                <c:pt idx="7">
                  <c:v>Taux de passage 3è/2nde GT</c:v>
                </c:pt>
                <c:pt idx="8">
                  <c:v>Taux de redoublement 3è*</c:v>
                </c:pt>
                <c:pt idx="9">
                  <c:v>% d'enseignants titulaires</c:v>
                </c:pt>
              </c:strCache>
            </c:strRef>
          </c:cat>
          <c:val>
            <c:numRef>
              <c:f>'Fiche clg'!$K$127:$T$127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8-43C5-A255-9BF6483A4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40640"/>
        <c:axId val="141307840"/>
      </c:radarChart>
      <c:catAx>
        <c:axId val="182640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307840"/>
        <c:crosses val="autoZero"/>
        <c:auto val="0"/>
        <c:lblAlgn val="ctr"/>
        <c:lblOffset val="100"/>
        <c:noMultiLvlLbl val="0"/>
      </c:catAx>
      <c:valAx>
        <c:axId val="141307840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264064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65923219800129906"/>
          <c:y val="0.84671622701838545"/>
          <c:w val="0.34076780199870094"/>
          <c:h val="0.1063189448441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25</xdr:row>
      <xdr:rowOff>161924</xdr:rowOff>
    </xdr:from>
    <xdr:to>
      <xdr:col>8</xdr:col>
      <xdr:colOff>0</xdr:colOff>
      <xdr:row>38</xdr:row>
      <xdr:rowOff>161924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4</xdr:col>
      <xdr:colOff>0</xdr:colOff>
      <xdr:row>73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0</xdr:colOff>
      <xdr:row>73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56</xdr:row>
      <xdr:rowOff>0</xdr:rowOff>
    </xdr:from>
    <xdr:to>
      <xdr:col>8</xdr:col>
      <xdr:colOff>0</xdr:colOff>
      <xdr:row>59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4</xdr:col>
      <xdr:colOff>0</xdr:colOff>
      <xdr:row>59</xdr:row>
      <xdr:rowOff>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101</xdr:row>
      <xdr:rowOff>0</xdr:rowOff>
    </xdr:from>
    <xdr:to>
      <xdr:col>8</xdr:col>
      <xdr:colOff>0</xdr:colOff>
      <xdr:row>104</xdr:row>
      <xdr:rowOff>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absoluteAnchor>
    <xdr:pos x="295275" y="14264639"/>
    <xdr:ext cx="6593205" cy="4988759"/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twoCellAnchor editAs="oneCell">
    <xdr:from>
      <xdr:col>1</xdr:col>
      <xdr:colOff>57150</xdr:colOff>
      <xdr:row>2</xdr:row>
      <xdr:rowOff>0</xdr:rowOff>
    </xdr:from>
    <xdr:to>
      <xdr:col>2</xdr:col>
      <xdr:colOff>746514</xdr:colOff>
      <xdr:row>19</xdr:row>
      <xdr:rowOff>28574</xdr:rowOff>
    </xdr:to>
    <xdr:pic>
      <xdr:nvPicPr>
        <xdr:cNvPr id="15" name="Image 14" descr="http://intranet.in.ac-noumea.nc/vr/IMG/png/logovrnc-dge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1950"/>
          <a:ext cx="2003814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/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0.84749</cdr:y>
    </cdr:from>
    <cdr:to>
      <cdr:x>0.65847</cdr:x>
      <cdr:y>0.95291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240838"/>
          <a:ext cx="4326200" cy="527521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X204"/>
  <sheetViews>
    <sheetView tabSelected="1" topLeftCell="B1" zoomScaleNormal="100" workbookViewId="0">
      <selection activeCell="I91" sqref="I91"/>
    </sheetView>
  </sheetViews>
  <sheetFormatPr baseColWidth="10" defaultColWidth="11.42578125" defaultRowHeight="12.75" x14ac:dyDescent="0.2"/>
  <cols>
    <col min="1" max="1" width="4.7109375" style="1" customWidth="1"/>
    <col min="2" max="2" width="19.7109375" style="1" customWidth="1"/>
    <col min="3" max="3" width="11.42578125" style="1"/>
    <col min="4" max="4" width="13.42578125" style="1" customWidth="1"/>
    <col min="5" max="8" width="13.5703125" style="1" customWidth="1"/>
    <col min="9" max="10" width="11.42578125" style="1"/>
    <col min="11" max="11" width="12" style="1" customWidth="1"/>
    <col min="12" max="16384" width="11.42578125" style="1"/>
  </cols>
  <sheetData>
    <row r="1" spans="2:17" ht="15.75" x14ac:dyDescent="0.25">
      <c r="B1" s="77" t="s">
        <v>139</v>
      </c>
      <c r="C1" s="77"/>
      <c r="D1" s="77"/>
      <c r="E1" s="77"/>
      <c r="F1" s="77"/>
      <c r="G1" s="77"/>
      <c r="H1" s="77"/>
      <c r="J1" s="28" t="s">
        <v>245</v>
      </c>
      <c r="K1" s="27"/>
      <c r="L1" s="27"/>
      <c r="M1" s="27"/>
      <c r="N1" s="27"/>
      <c r="O1" s="27"/>
      <c r="P1" s="27"/>
      <c r="Q1" s="27"/>
    </row>
    <row r="3" spans="2:17" ht="14.25" x14ac:dyDescent="0.2">
      <c r="B3" s="21" t="str">
        <f>VLOOKUP(B1,Base_clg!A2:B56,2,FALSE)</f>
        <v>9830004M</v>
      </c>
      <c r="E3" s="1" t="s">
        <v>44</v>
      </c>
      <c r="F3" s="20" t="str">
        <f>VLOOKUP(B3,Base_clg!B2:D56,3,FALSE)</f>
        <v>Nouméa</v>
      </c>
      <c r="G3" s="16"/>
    </row>
    <row r="6" spans="2:17" ht="3" customHeight="1" x14ac:dyDescent="0.2"/>
    <row r="7" spans="2:17" ht="15.75" hidden="1" x14ac:dyDescent="0.2">
      <c r="B7" s="5" t="s">
        <v>28</v>
      </c>
      <c r="C7" s="5"/>
      <c r="D7" s="5"/>
      <c r="E7" s="5"/>
      <c r="F7" s="5"/>
      <c r="G7" s="5"/>
    </row>
    <row r="8" spans="2:17" hidden="1" x14ac:dyDescent="0.2"/>
    <row r="9" spans="2:17" hidden="1" x14ac:dyDescent="0.2">
      <c r="B9" s="18" t="s">
        <v>15</v>
      </c>
      <c r="C9" s="1" t="s">
        <v>17</v>
      </c>
    </row>
    <row r="10" spans="2:17" hidden="1" x14ac:dyDescent="0.2">
      <c r="B10" s="18" t="s">
        <v>16</v>
      </c>
      <c r="C10" s="1" t="s">
        <v>19</v>
      </c>
    </row>
    <row r="11" spans="2:17" hidden="1" x14ac:dyDescent="0.2">
      <c r="B11" s="18" t="s">
        <v>16</v>
      </c>
    </row>
    <row r="12" spans="2:17" hidden="1" x14ac:dyDescent="0.2">
      <c r="B12" s="19" t="s">
        <v>12</v>
      </c>
      <c r="C12" s="1" t="s">
        <v>18</v>
      </c>
    </row>
    <row r="13" spans="2:17" hidden="1" x14ac:dyDescent="0.2">
      <c r="B13" s="19" t="s">
        <v>13</v>
      </c>
      <c r="C13" s="1" t="s">
        <v>41</v>
      </c>
    </row>
    <row r="14" spans="2:17" hidden="1" x14ac:dyDescent="0.2">
      <c r="B14" s="19"/>
      <c r="C14" s="1" t="s">
        <v>42</v>
      </c>
    </row>
    <row r="15" spans="2:17" hidden="1" x14ac:dyDescent="0.2">
      <c r="B15" s="19" t="s">
        <v>14</v>
      </c>
      <c r="C15" s="1" t="s">
        <v>20</v>
      </c>
    </row>
    <row r="16" spans="2:17" hidden="1" x14ac:dyDescent="0.2"/>
    <row r="17" spans="2:10" hidden="1" x14ac:dyDescent="0.2"/>
    <row r="21" spans="2:10" ht="15.75" x14ac:dyDescent="0.2">
      <c r="B21" s="10" t="s">
        <v>21</v>
      </c>
      <c r="J21"/>
    </row>
    <row r="22" spans="2:10" x14ac:dyDescent="0.2">
      <c r="E22" s="2">
        <v>2012</v>
      </c>
      <c r="F22" s="38">
        <v>2022</v>
      </c>
      <c r="G22" s="38">
        <v>2023</v>
      </c>
      <c r="H22" s="38">
        <v>2024</v>
      </c>
    </row>
    <row r="23" spans="2:10" x14ac:dyDescent="0.2">
      <c r="B23" s="1" t="s">
        <v>22</v>
      </c>
      <c r="E23" s="22">
        <f>VLOOKUP(B3,Base_clg!B2:CT56,5,FALSE)</f>
        <v>648</v>
      </c>
      <c r="F23" s="22">
        <f>VLOOKUP(B3,Base_clg!B2:CT56,8,FALSE)</f>
        <v>497</v>
      </c>
      <c r="G23" s="22">
        <f>VLOOKUP(B3,Base_clg!B2:CT56,11,FALSE)</f>
        <v>446</v>
      </c>
      <c r="H23" s="22">
        <f>VLOOKUP(B3,Base_clg!B2:CT56,14,FALSE)</f>
        <v>451</v>
      </c>
    </row>
    <row r="24" spans="2:10" x14ac:dyDescent="0.2">
      <c r="B24" s="1" t="s">
        <v>23</v>
      </c>
      <c r="E24" s="22" t="str">
        <f>VLOOKUP(B3,Base_clg!B2:CT56,6,FALSE)</f>
        <v>-</v>
      </c>
      <c r="F24" s="22" t="str">
        <f>VLOOKUP(B3,Base_clg!B2:CT56,9,FALSE)</f>
        <v>-</v>
      </c>
      <c r="G24" s="22" t="str">
        <f>VLOOKUP(B3,Base_clg!B2:CT56,12,FALSE)</f>
        <v>-</v>
      </c>
      <c r="H24" s="22" t="str">
        <f>VLOOKUP(B3,Base_clg!B2:CT56,15,FALSE)</f>
        <v>-</v>
      </c>
    </row>
    <row r="25" spans="2:10" x14ac:dyDescent="0.2">
      <c r="B25" s="1" t="s">
        <v>24</v>
      </c>
      <c r="E25" s="22" t="str">
        <f>VLOOKUP(B3,Base_clg!B2:CT56,7,FALSE)</f>
        <v>-</v>
      </c>
      <c r="F25" s="22" t="str">
        <f>VLOOKUP(B3,Base_clg!B2:CT56,10,FALSE)</f>
        <v>-</v>
      </c>
      <c r="G25" s="22" t="str">
        <f>VLOOKUP(B3,Base_clg!B2:CT56,13,FALSE)</f>
        <v>-</v>
      </c>
      <c r="H25" s="22" t="str">
        <f>VLOOKUP(B3,Base_clg!B2:CT56,16,FALSE)</f>
        <v>-</v>
      </c>
    </row>
    <row r="42" spans="2:8" ht="15.75" x14ac:dyDescent="0.25">
      <c r="B42" s="6" t="s">
        <v>268</v>
      </c>
      <c r="C42" s="4"/>
      <c r="D42" s="4"/>
      <c r="E42" s="4"/>
      <c r="F42" s="4"/>
      <c r="G42" s="4"/>
    </row>
    <row r="43" spans="2:8" x14ac:dyDescent="0.2">
      <c r="F43" s="73" t="s">
        <v>313</v>
      </c>
      <c r="G43" s="73"/>
      <c r="H43" s="73"/>
    </row>
    <row r="44" spans="2:8" x14ac:dyDescent="0.2">
      <c r="F44" s="2" t="s">
        <v>26</v>
      </c>
      <c r="G44" s="3" t="str">
        <f>VLOOKUP(B3,Base_clg!B2:C56,2,FALSE)</f>
        <v>Public</v>
      </c>
      <c r="H44" s="24" t="s">
        <v>244</v>
      </c>
    </row>
    <row r="45" spans="2:8" x14ac:dyDescent="0.2">
      <c r="B45" s="1" t="s">
        <v>266</v>
      </c>
      <c r="F45" s="23">
        <f>VLOOKUP(B3,Base_clg!B2:CT56,17,FALSE)</f>
        <v>96.9</v>
      </c>
      <c r="G45" s="23">
        <f>VLOOKUP(B3,Base_clg!B2:CT56,18,FALSE)</f>
        <v>121</v>
      </c>
      <c r="H45" s="23">
        <f>VLOOKUP(B3,Base_clg!B2:CT56,19,FALSE)</f>
        <v>127</v>
      </c>
    </row>
    <row r="46" spans="2:8" x14ac:dyDescent="0.2">
      <c r="B46" s="1" t="s">
        <v>297</v>
      </c>
      <c r="F46" s="23">
        <f>VLOOKUP(B3,Base_clg!B2:CT56,20,FALSE)</f>
        <v>27.4</v>
      </c>
      <c r="G46" s="23">
        <f>VLOOKUP(B3,Base_clg!B2:CT56,21,FALSE)</f>
        <v>46.1</v>
      </c>
      <c r="H46" s="23">
        <f>VLOOKUP(B3,Base_clg!B2:CT56,22,FALSE)</f>
        <v>45.8</v>
      </c>
    </row>
    <row r="47" spans="2:8" x14ac:dyDescent="0.2">
      <c r="B47" s="1" t="s">
        <v>298</v>
      </c>
      <c r="F47" s="23">
        <f>VLOOKUP(B3,Base_clg!B2:CT56,23,FALSE)</f>
        <v>30.6</v>
      </c>
      <c r="G47" s="23">
        <f>VLOOKUP(B3,Base_clg!B2:CT56,24,FALSE)</f>
        <v>16.399999999999999</v>
      </c>
      <c r="H47" s="23">
        <f>VLOOKUP(B3,Base_clg!B2:CT56,25,FALSE)</f>
        <v>16.399999999999999</v>
      </c>
    </row>
    <row r="48" spans="2:8" x14ac:dyDescent="0.2">
      <c r="B48" s="1" t="s">
        <v>261</v>
      </c>
      <c r="F48" s="23">
        <f>VLOOKUP(B3,Base_clg!B2:CT56,26,FALSE)</f>
        <v>113.3</v>
      </c>
      <c r="G48" s="23">
        <f>VLOOKUP(B3,Base_clg!B2:CT56,27,FALSE)</f>
        <v>96.4</v>
      </c>
      <c r="H48" s="23">
        <f>VLOOKUP(B3,Base_clg!B2:CT56,28,FALSE)</f>
        <v>96.6</v>
      </c>
    </row>
    <row r="49" spans="2:11" x14ac:dyDescent="0.2">
      <c r="B49" s="1" t="s">
        <v>305</v>
      </c>
      <c r="F49" s="23">
        <f>VLOOKUP(B3,Base_clg!CU2:CX56,2,FALSE)</f>
        <v>26.905829596412556</v>
      </c>
      <c r="G49" s="23">
        <f>VLOOKUP(B3,Base_clg!CU2:CX56,3,FALSE)</f>
        <v>35.323259846420605</v>
      </c>
      <c r="H49" s="23">
        <f>VLOOKUP(B3,Base_clg!CU2:CX56,4,FALSE)</f>
        <v>37.207235798159317</v>
      </c>
    </row>
    <row r="50" spans="2:11" x14ac:dyDescent="0.2">
      <c r="B50" s="1" t="s">
        <v>25</v>
      </c>
      <c r="F50" s="23">
        <f>VLOOKUP(B3,Base_clg!B2:CT56,29,FALSE)</f>
        <v>13.1</v>
      </c>
      <c r="G50" s="23">
        <f>VLOOKUP(B3,Base_clg!B2:CT56,30,FALSE)</f>
        <v>9.8000000000000007</v>
      </c>
      <c r="H50" s="23">
        <f>VLOOKUP(B3,Base_clg!B2:CT56,31,FALSE)</f>
        <v>10.7</v>
      </c>
    </row>
    <row r="51" spans="2:11" x14ac:dyDescent="0.2">
      <c r="B51" s="1" t="s">
        <v>315</v>
      </c>
      <c r="F51" s="23">
        <f>VLOOKUP(B3,Base_clg!B2:CT56,32,FALSE)</f>
        <v>28.400000000000006</v>
      </c>
      <c r="G51" s="23">
        <f>VLOOKUP(B3,Base_clg!B2:CT56,33,FALSE)</f>
        <v>46.9</v>
      </c>
      <c r="H51" s="23">
        <f>VLOOKUP(B3,Base_clg!B2:CT56,34,FALSE)</f>
        <v>47.6</v>
      </c>
    </row>
    <row r="52" spans="2:11" x14ac:dyDescent="0.2">
      <c r="B52" s="41" t="s">
        <v>316</v>
      </c>
      <c r="F52" s="23">
        <f>VLOOKUP(B3,Base_clg!B2:CT56,35,FALSE)</f>
        <v>37.1</v>
      </c>
      <c r="G52" s="23">
        <f>VLOOKUP(B3,Base_clg!B2:CT56,36,FALSE)</f>
        <v>60.6</v>
      </c>
      <c r="H52" s="23">
        <f>VLOOKUP(B3,Base_clg!B2:CT56,37,FALSE)</f>
        <v>63.2</v>
      </c>
    </row>
    <row r="53" spans="2:11" x14ac:dyDescent="0.2">
      <c r="F53" s="25"/>
      <c r="G53" s="25"/>
      <c r="H53" s="25"/>
    </row>
    <row r="54" spans="2:11" x14ac:dyDescent="0.2">
      <c r="B54" s="26"/>
      <c r="F54" s="25"/>
      <c r="G54" s="25"/>
      <c r="H54" s="25"/>
    </row>
    <row r="55" spans="2:11" ht="16.5" hidden="1" customHeight="1" x14ac:dyDescent="0.2">
      <c r="B55" s="13" t="s">
        <v>240</v>
      </c>
      <c r="C55" s="14"/>
      <c r="D55" s="14"/>
      <c r="E55" s="14"/>
      <c r="F55" s="14"/>
      <c r="G55" s="14"/>
      <c r="H55" s="15" t="s">
        <v>6</v>
      </c>
    </row>
    <row r="56" spans="2:11" ht="19.5" hidden="1" customHeight="1" x14ac:dyDescent="0.2">
      <c r="B56" s="11" t="s">
        <v>2</v>
      </c>
      <c r="C56" s="71" t="s">
        <v>1</v>
      </c>
      <c r="D56" s="72"/>
      <c r="E56" s="74" t="s">
        <v>3</v>
      </c>
      <c r="F56" s="75"/>
      <c r="G56" s="69" t="s">
        <v>4</v>
      </c>
      <c r="H56" s="70"/>
    </row>
    <row r="57" spans="2:11" hidden="1" x14ac:dyDescent="0.2">
      <c r="I57" s="12">
        <v>-6.5</v>
      </c>
      <c r="J57" s="29">
        <f>VLOOKUP(B3,Base_clg!B59:E112,2,FALSE)</f>
        <v>0</v>
      </c>
      <c r="K57" s="12">
        <v>6.5</v>
      </c>
    </row>
    <row r="58" spans="2:11" hidden="1" x14ac:dyDescent="0.2">
      <c r="I58" s="12">
        <v>0</v>
      </c>
      <c r="J58" s="12">
        <v>0</v>
      </c>
      <c r="K58" s="12">
        <v>0</v>
      </c>
    </row>
    <row r="61" spans="2:11" ht="15.75" x14ac:dyDescent="0.25">
      <c r="B61" s="6" t="s">
        <v>0</v>
      </c>
    </row>
    <row r="62" spans="2:11" x14ac:dyDescent="0.2">
      <c r="F62" s="73" t="s">
        <v>313</v>
      </c>
      <c r="G62" s="73"/>
      <c r="H62" s="73"/>
    </row>
    <row r="63" spans="2:11" x14ac:dyDescent="0.2">
      <c r="F63" s="7" t="s">
        <v>26</v>
      </c>
      <c r="G63" s="2" t="str">
        <f>VLOOKUP(B3,Base_clg!B2:C56,2,FALSE)</f>
        <v>Public</v>
      </c>
      <c r="H63" s="24" t="s">
        <v>244</v>
      </c>
    </row>
    <row r="64" spans="2:11" x14ac:dyDescent="0.2">
      <c r="B64" s="1" t="s">
        <v>29</v>
      </c>
      <c r="F64" s="78">
        <f>VLOOKUP(B3,Base_clg!B2:CT56,38,FALSE)</f>
        <v>1.25</v>
      </c>
      <c r="G64" s="78">
        <f>VLOOKUP(B3,Base_clg!B2:CT56,39,FALSE)</f>
        <v>1.36</v>
      </c>
      <c r="H64" s="78">
        <f>VLOOKUP(B3,Base_clg!B2:CT56,40,FALSE)</f>
        <v>1.36</v>
      </c>
    </row>
    <row r="65" spans="2:11" x14ac:dyDescent="0.2">
      <c r="B65" s="1" t="s">
        <v>105</v>
      </c>
      <c r="F65" s="79"/>
      <c r="G65" s="79"/>
      <c r="H65" s="79"/>
    </row>
    <row r="66" spans="2:11" x14ac:dyDescent="0.2">
      <c r="B66" s="1" t="s">
        <v>106</v>
      </c>
      <c r="F66" s="76">
        <f>VLOOKUP(B3,Base_clg!B2:CT56,41,FALSE)</f>
        <v>25.2</v>
      </c>
      <c r="G66" s="76">
        <f>VLOOKUP(B3,Base_clg!B2:CT56,42,FALSE)</f>
        <v>22.4</v>
      </c>
      <c r="H66" s="76">
        <f>VLOOKUP(B3,Base_clg!B2:CT56,43,FALSE)</f>
        <v>22.1</v>
      </c>
    </row>
    <row r="67" spans="2:11" x14ac:dyDescent="0.2">
      <c r="B67" s="1" t="s">
        <v>107</v>
      </c>
      <c r="F67" s="76"/>
      <c r="G67" s="76"/>
      <c r="H67" s="76"/>
    </row>
    <row r="69" spans="2:11" ht="16.5" hidden="1" customHeight="1" x14ac:dyDescent="0.2">
      <c r="B69" s="13" t="s">
        <v>241</v>
      </c>
      <c r="C69" s="14"/>
      <c r="D69" s="14"/>
      <c r="E69" s="14"/>
      <c r="F69" s="14"/>
      <c r="G69" s="14"/>
      <c r="H69" s="15" t="s">
        <v>5</v>
      </c>
    </row>
    <row r="70" spans="2:11" ht="19.5" hidden="1" customHeight="1" x14ac:dyDescent="0.2">
      <c r="B70" s="11" t="s">
        <v>2</v>
      </c>
      <c r="C70" s="71" t="s">
        <v>1</v>
      </c>
      <c r="D70" s="72"/>
      <c r="E70" s="74" t="s">
        <v>3</v>
      </c>
      <c r="F70" s="75"/>
      <c r="G70" s="69" t="s">
        <v>4</v>
      </c>
      <c r="H70" s="70"/>
    </row>
    <row r="71" spans="2:11" hidden="1" x14ac:dyDescent="0.2">
      <c r="I71" s="12">
        <v>-6.5</v>
      </c>
      <c r="J71" s="29">
        <f>VLOOKUP(B3,Base_clg!B59:E112,3,FALSE)</f>
        <v>0</v>
      </c>
      <c r="K71" s="12">
        <v>6.5</v>
      </c>
    </row>
    <row r="72" spans="2:11" hidden="1" x14ac:dyDescent="0.2">
      <c r="I72" s="12">
        <v>0</v>
      </c>
      <c r="J72" s="12">
        <v>0</v>
      </c>
      <c r="K72" s="12">
        <v>0</v>
      </c>
    </row>
    <row r="74" spans="2:11" ht="15.75" x14ac:dyDescent="0.25">
      <c r="B74" s="6" t="s">
        <v>36</v>
      </c>
    </row>
    <row r="75" spans="2:11" x14ac:dyDescent="0.2">
      <c r="F75" s="73" t="s">
        <v>313</v>
      </c>
      <c r="G75" s="73"/>
      <c r="H75" s="73"/>
    </row>
    <row r="76" spans="2:11" x14ac:dyDescent="0.2">
      <c r="F76" s="2" t="s">
        <v>26</v>
      </c>
      <c r="G76" s="2" t="str">
        <f>VLOOKUP(B3,Base_clg!B2:C56,2,FALSE)</f>
        <v>Public</v>
      </c>
      <c r="H76" s="24" t="s">
        <v>244</v>
      </c>
    </row>
    <row r="77" spans="2:11" hidden="1" x14ac:dyDescent="0.2">
      <c r="B77" s="1" t="s">
        <v>37</v>
      </c>
      <c r="F77" s="8">
        <f>VLOOKUP(B3,Base_clg!B2:CT56,74,FALSE)</f>
        <v>10.7</v>
      </c>
      <c r="G77" s="8">
        <f>VLOOKUP(B3,Base_clg!B2:CT56,75,FALSE)</f>
        <v>9.1</v>
      </c>
      <c r="H77" s="8">
        <f>VLOOKUP(B3,Base_clg!B2:CT56,76,FALSE)</f>
        <v>8.9</v>
      </c>
    </row>
    <row r="78" spans="2:11" x14ac:dyDescent="0.2">
      <c r="B78" s="1" t="s">
        <v>38</v>
      </c>
      <c r="F78" s="8">
        <f>VLOOKUP(B3,Base_clg!B2:CT56,89,FALSE)</f>
        <v>92.8</v>
      </c>
      <c r="G78" s="8">
        <f>VLOOKUP(B3,Base_clg!B2:CT56,90,FALSE)</f>
        <v>82.6</v>
      </c>
      <c r="H78" s="8">
        <f>VLOOKUP(B3,Base_clg!B2:CT56,91,FALSE)</f>
        <v>75.599999999999994</v>
      </c>
    </row>
    <row r="79" spans="2:11" x14ac:dyDescent="0.2">
      <c r="B79" s="1" t="s">
        <v>39</v>
      </c>
      <c r="F79" s="8">
        <f>VLOOKUP(B3,Base_clg!B2:CT56,92,FALSE)</f>
        <v>6.4</v>
      </c>
      <c r="G79" s="8">
        <f>VLOOKUP(B3,Base_clg!B2:CT56,93,FALSE)</f>
        <v>5.2</v>
      </c>
      <c r="H79" s="8">
        <f>VLOOKUP(B3,Base_clg!B2:CT56,94,FALSE)</f>
        <v>5.3</v>
      </c>
    </row>
    <row r="80" spans="2:11" x14ac:dyDescent="0.2">
      <c r="B80" s="1" t="s">
        <v>40</v>
      </c>
      <c r="F80" s="8">
        <f>VLOOKUP(B3,Base_clg!B2:CT56,95,FALSE)</f>
        <v>46</v>
      </c>
      <c r="G80" s="8">
        <f>VLOOKUP(B3,Base_clg!B2:CT56,96,FALSE)</f>
        <v>42.5</v>
      </c>
      <c r="H80" s="8">
        <f>VLOOKUP(B3,Base_clg!B2:CT56,97,FALSE)</f>
        <v>42.9</v>
      </c>
    </row>
    <row r="88" spans="2:8" ht="15.75" x14ac:dyDescent="0.25">
      <c r="B88" s="6" t="s">
        <v>7</v>
      </c>
    </row>
    <row r="89" spans="2:8" x14ac:dyDescent="0.2">
      <c r="F89" s="73" t="s">
        <v>314</v>
      </c>
      <c r="G89" s="73"/>
      <c r="H89" s="73"/>
    </row>
    <row r="90" spans="2:8" x14ac:dyDescent="0.2">
      <c r="F90" s="2" t="s">
        <v>26</v>
      </c>
      <c r="G90" s="2" t="str">
        <f>VLOOKUP(B3,Base_clg!B2:C56,2,FALSE)</f>
        <v>Public</v>
      </c>
      <c r="H90" s="24" t="s">
        <v>244</v>
      </c>
    </row>
    <row r="91" spans="2:8" x14ac:dyDescent="0.2">
      <c r="B91" s="1" t="s">
        <v>30</v>
      </c>
      <c r="F91" s="23">
        <f>VLOOKUP(B3,Base_clg!B2:CT56,44,FALSE)</f>
        <v>76.7</v>
      </c>
      <c r="G91" s="23">
        <f>VLOOKUP(B3,Base_clg!B2:CT56,45,FALSE)</f>
        <v>56</v>
      </c>
      <c r="H91" s="23">
        <f>VLOOKUP(B3,Base_clg!B2:CT56,46,FALSE)</f>
        <v>53.8</v>
      </c>
    </row>
    <row r="92" spans="2:8" x14ac:dyDescent="0.2">
      <c r="B92" s="1" t="s">
        <v>31</v>
      </c>
      <c r="F92" s="23">
        <f>VLOOKUP(B3,Base_clg!B2:CT56,47,FALSE)</f>
        <v>9.6</v>
      </c>
      <c r="G92" s="23">
        <f>VLOOKUP(B3,Base_clg!B2:CT56,48,FALSE)</f>
        <v>29.5</v>
      </c>
      <c r="H92" s="23">
        <f>VLOOKUP(B3,Base_clg!B2:CT56,49,FALSE)</f>
        <v>30.7</v>
      </c>
    </row>
    <row r="93" spans="2:8" x14ac:dyDescent="0.2">
      <c r="B93" s="1" t="s">
        <v>32</v>
      </c>
      <c r="F93" s="23">
        <f>VLOOKUP(B3,Base_clg!B2:CT56,50,FALSE)</f>
        <v>6.8</v>
      </c>
      <c r="G93" s="23">
        <f>VLOOKUP(B3,Base_clg!B2:CT56,51,FALSE)</f>
        <v>8.1999999999999993</v>
      </c>
      <c r="H93" s="23">
        <f>VLOOKUP(B3,Base_clg!B2:CT56,52,FALSE)</f>
        <v>9.3000000000000007</v>
      </c>
    </row>
    <row r="94" spans="2:8" hidden="1" x14ac:dyDescent="0.2">
      <c r="B94" s="27" t="s">
        <v>33</v>
      </c>
      <c r="C94" s="27"/>
      <c r="D94" s="27"/>
      <c r="E94" s="27"/>
      <c r="F94" s="42">
        <f>VLOOKUP(B3,Base_clg!B2:CT56,53,FALSE)</f>
        <v>0</v>
      </c>
      <c r="G94" s="42">
        <f>VLOOKUP(B3,Base_clg!B2:CT56,54,FALSE)</f>
        <v>0</v>
      </c>
      <c r="H94" s="42">
        <f>VLOOKUP(B3,Base_clg!B2:CT56,55,FALSE)</f>
        <v>0</v>
      </c>
    </row>
    <row r="95" spans="2:8" x14ac:dyDescent="0.2">
      <c r="B95" s="1" t="s">
        <v>34</v>
      </c>
      <c r="F95" s="23">
        <f>VLOOKUP(B3,Base_clg!B2:CT56,56,FALSE)</f>
        <v>0</v>
      </c>
      <c r="G95" s="23">
        <f>VLOOKUP(B3,Base_clg!B2:CT56,57,FALSE)</f>
        <v>0.5</v>
      </c>
      <c r="H95" s="23">
        <f>VLOOKUP(B3,Base_clg!B2:CT56,58,FALSE)</f>
        <v>0.7</v>
      </c>
    </row>
    <row r="96" spans="2:8" x14ac:dyDescent="0.2">
      <c r="B96" s="1" t="s">
        <v>294</v>
      </c>
      <c r="F96" s="23">
        <f>VLOOKUP(B3,Base_clg!B2:CT56,59,FALSE)</f>
        <v>91.6</v>
      </c>
      <c r="G96" s="23">
        <f>VLOOKUP(B3,Base_clg!B2:CT56,60,FALSE)</f>
        <v>88.6</v>
      </c>
      <c r="H96" s="23">
        <f>VLOOKUP(B3,Base_clg!B2:CT56,61,FALSE)</f>
        <v>87.4</v>
      </c>
    </row>
    <row r="97" spans="2:11" x14ac:dyDescent="0.2">
      <c r="B97" s="1" t="s">
        <v>295</v>
      </c>
      <c r="F97" s="23">
        <f>VLOOKUP(B3,Base_clg!B2:CT56,62,FALSE)</f>
        <v>95.8</v>
      </c>
      <c r="G97" s="23">
        <f>VLOOKUP(B3,Base_clg!B2:CT56,63,FALSE)</f>
        <v>84.9</v>
      </c>
      <c r="H97" s="23">
        <f>VLOOKUP(B3,Base_clg!B2:CT56,64,FALSE)</f>
        <v>85.4</v>
      </c>
    </row>
    <row r="98" spans="2:11" x14ac:dyDescent="0.2">
      <c r="B98" s="48" t="s">
        <v>296</v>
      </c>
      <c r="F98" s="23">
        <f>VLOOKUP(B3,Base_clg!B2:CT56,65,FALSE)</f>
        <v>83.3</v>
      </c>
      <c r="G98" s="23">
        <f>VLOOKUP(B3,Base_clg!B2:CT56,66,FALSE)</f>
        <v>76.2</v>
      </c>
      <c r="H98" s="23">
        <f>VLOOKUP(B3,Base_clg!B2:CT56,67,FALSE)</f>
        <v>77</v>
      </c>
    </row>
    <row r="100" spans="2:11" hidden="1" x14ac:dyDescent="0.2">
      <c r="B100" s="13" t="s">
        <v>242</v>
      </c>
      <c r="C100" s="14"/>
      <c r="D100" s="14"/>
      <c r="E100" s="14"/>
      <c r="F100" s="14"/>
      <c r="G100" s="14"/>
      <c r="H100" s="15" t="s">
        <v>239</v>
      </c>
    </row>
    <row r="101" spans="2:11" ht="18" hidden="1" x14ac:dyDescent="0.2">
      <c r="B101" s="11" t="s">
        <v>2</v>
      </c>
      <c r="C101" s="71" t="s">
        <v>1</v>
      </c>
      <c r="D101" s="72"/>
      <c r="E101" s="74" t="s">
        <v>3</v>
      </c>
      <c r="F101" s="75"/>
      <c r="G101" s="69" t="s">
        <v>4</v>
      </c>
      <c r="H101" s="70"/>
    </row>
    <row r="102" spans="2:11" hidden="1" x14ac:dyDescent="0.2">
      <c r="I102" s="12">
        <v>-6.5</v>
      </c>
      <c r="J102" s="29">
        <f>VLOOKUP(B3,Base_clg!B$59:E$112,4,FALSE)</f>
        <v>0</v>
      </c>
      <c r="K102" s="12">
        <v>6.5</v>
      </c>
    </row>
    <row r="103" spans="2:11" hidden="1" x14ac:dyDescent="0.2">
      <c r="I103" s="12">
        <v>0</v>
      </c>
      <c r="J103" s="12">
        <v>0</v>
      </c>
      <c r="K103" s="12">
        <v>0</v>
      </c>
    </row>
    <row r="107" spans="2:11" ht="15.75" x14ac:dyDescent="0.25">
      <c r="B107" s="6" t="s">
        <v>9</v>
      </c>
    </row>
    <row r="108" spans="2:11" x14ac:dyDescent="0.2">
      <c r="F108" s="73" t="s">
        <v>313</v>
      </c>
      <c r="G108" s="73"/>
      <c r="H108" s="73"/>
    </row>
    <row r="109" spans="2:11" x14ac:dyDescent="0.2">
      <c r="F109" s="2" t="s">
        <v>26</v>
      </c>
      <c r="G109" s="2" t="str">
        <f>VLOOKUP(B3,Base_clg!B2:C56,2,FALSE)</f>
        <v>Public</v>
      </c>
      <c r="H109" s="2" t="s">
        <v>244</v>
      </c>
    </row>
    <row r="110" spans="2:11" x14ac:dyDescent="0.2">
      <c r="B110" s="1" t="s">
        <v>35</v>
      </c>
      <c r="F110" s="23">
        <f>VLOOKUP(B3,Base_clg!B2:CT56,68,FALSE)</f>
        <v>90.6</v>
      </c>
      <c r="G110" s="23">
        <f>VLOOKUP(B3,Base_clg!B2:CT56,69,FALSE)</f>
        <v>86.3</v>
      </c>
      <c r="H110" s="23">
        <f>VLOOKUP(B3,Base_clg!B2:CT56,70,FALSE)</f>
        <v>86.3</v>
      </c>
    </row>
    <row r="111" spans="2:11" x14ac:dyDescent="0.2">
      <c r="B111" s="30" t="s">
        <v>248</v>
      </c>
      <c r="C111" s="30"/>
      <c r="D111" s="30"/>
      <c r="F111" s="8">
        <f>VLOOKUP(B3,Base_clg!B2:CT56,71,FALSE)</f>
        <v>-9.6459096459096543</v>
      </c>
      <c r="G111" s="8">
        <f>VLOOKUP(B3,Base_clg!B2:CT56,72,FALSE)</f>
        <v>-6.3</v>
      </c>
      <c r="H111" s="8">
        <f>VLOOKUP(B3,Base_clg!B2:CT56,73,FALSE)</f>
        <v>-5.9</v>
      </c>
    </row>
    <row r="112" spans="2:11" x14ac:dyDescent="0.2">
      <c r="B112" s="1" t="s">
        <v>254</v>
      </c>
      <c r="F112" s="8">
        <f>VLOOKUP(B3,Base_clg!B2:CT56,74,FALSE)</f>
        <v>10.7</v>
      </c>
      <c r="G112" s="8">
        <f>VLOOKUP(B3,Base_clg!B2:CT56,75,FALSE)</f>
        <v>9.1</v>
      </c>
      <c r="H112" s="8">
        <f>VLOOKUP(B3,Base_clg!B2:CT56,76,FALSE)</f>
        <v>8.9</v>
      </c>
    </row>
    <row r="113" spans="2:24" x14ac:dyDescent="0.2">
      <c r="B113" s="1" t="s">
        <v>269</v>
      </c>
      <c r="F113" s="8">
        <f>VLOOKUP(B3,Base_clg!B2:CT56,77,FALSE)</f>
        <v>16.3</v>
      </c>
      <c r="G113" s="8">
        <f>VLOOKUP(B3,Base_clg!B2:CT56,78,FALSE)</f>
        <v>15.36</v>
      </c>
      <c r="H113" s="8">
        <f>VLOOKUP(B3,Base_clg!B2:CT56,79,FALSE)</f>
        <v>15.5</v>
      </c>
    </row>
    <row r="114" spans="2:24" x14ac:dyDescent="0.2">
      <c r="B114" s="1" t="s">
        <v>253</v>
      </c>
      <c r="F114" s="8">
        <f>VLOOKUP(B3,Base_clg!B2:CT56,80,FALSE)</f>
        <v>15.6</v>
      </c>
      <c r="G114" s="8">
        <f>VLOOKUP(B3,Base_clg!B2:CT56,81,FALSE)</f>
        <v>14.8</v>
      </c>
      <c r="H114" s="8">
        <f>VLOOKUP(B3,Base_clg!B2:CT56,82,FALSE)</f>
        <v>14.7</v>
      </c>
    </row>
    <row r="115" spans="2:24" x14ac:dyDescent="0.2">
      <c r="F115" s="46"/>
      <c r="H115" s="46"/>
    </row>
    <row r="119" spans="2:24" ht="15.75" x14ac:dyDescent="0.2">
      <c r="B119" s="9" t="s">
        <v>8</v>
      </c>
    </row>
    <row r="123" spans="2:24" x14ac:dyDescent="0.2">
      <c r="J123" s="34" t="s">
        <v>243</v>
      </c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0"/>
      <c r="V123" s="30"/>
      <c r="W123" s="30"/>
    </row>
    <row r="124" spans="2:24" ht="51" x14ac:dyDescent="0.2">
      <c r="J124" s="49" t="s">
        <v>8</v>
      </c>
      <c r="K124" s="37" t="s">
        <v>267</v>
      </c>
      <c r="L124" s="37" t="s">
        <v>265</v>
      </c>
      <c r="M124" s="37" t="s">
        <v>49</v>
      </c>
      <c r="N124" s="37" t="s">
        <v>50</v>
      </c>
      <c r="O124" s="37" t="s">
        <v>319</v>
      </c>
      <c r="P124" s="37" t="s">
        <v>320</v>
      </c>
      <c r="Q124" s="37" t="s">
        <v>46</v>
      </c>
      <c r="R124" s="37" t="s">
        <v>45</v>
      </c>
      <c r="S124" s="37" t="s">
        <v>48</v>
      </c>
      <c r="T124" s="37" t="s">
        <v>47</v>
      </c>
      <c r="W124" s="43"/>
    </row>
    <row r="125" spans="2:24" x14ac:dyDescent="0.2">
      <c r="J125" s="34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W125" s="17"/>
    </row>
    <row r="126" spans="2:24" x14ac:dyDescent="0.2">
      <c r="J126" s="34" t="s">
        <v>26</v>
      </c>
      <c r="K126" s="36">
        <f>VLOOKUP(B3,Base_clg!B59:O113,5,FALSE)</f>
        <v>3.5040745052386488</v>
      </c>
      <c r="L126" s="36">
        <f>VLOOKUP(B3,Base_clg!B59:O113,6,FALSE)</f>
        <v>2.6175548589341693</v>
      </c>
      <c r="M126" s="36">
        <f>VLOOKUP(B3,Base_clg!B59:O113,7,FALSE)</f>
        <v>-2.1088435374149648</v>
      </c>
      <c r="N126" s="36">
        <f>VLOOKUP(B3,Base_clg!B59:O113,8,FALSE)</f>
        <v>-0.56074766355140204</v>
      </c>
      <c r="O126" s="36">
        <f>VLOOKUP(B3,Base_clg!B59:O113,9,FALSE)</f>
        <v>2.0352035203520344</v>
      </c>
      <c r="P126" s="36">
        <f>VLOOKUP(B3,Base_clg!B59:O113,10,FALSE)</f>
        <v>3.020833333333333</v>
      </c>
      <c r="Q126" s="36">
        <f>VLOOKUP(B3,Base_clg!B59:O113,11,FALSE)</f>
        <v>1.0591133004926101</v>
      </c>
      <c r="R126" s="36">
        <f>VLOOKUP(B3,Base_clg!B59:O113,12,FALSE)</f>
        <v>2.5672645739910318</v>
      </c>
      <c r="S126" s="36">
        <f>VLOOKUP(B3,Base_clg!B59:O113,13,FALSE)</f>
        <v>3.5</v>
      </c>
      <c r="T126" s="36">
        <f>VLOOKUP(B3,Base_clg!B59:O113,14,FALSE)</f>
        <v>0</v>
      </c>
      <c r="W126" s="17"/>
    </row>
    <row r="127" spans="2:24" x14ac:dyDescent="0.2">
      <c r="J127" s="34" t="s">
        <v>244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W127" s="17"/>
      <c r="X127" s="21"/>
    </row>
    <row r="128" spans="2:24" x14ac:dyDescent="0.2">
      <c r="X128" s="21"/>
    </row>
    <row r="129" spans="9:24" x14ac:dyDescent="0.2">
      <c r="X129" s="21"/>
    </row>
    <row r="135" spans="9:24" x14ac:dyDescent="0.2"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</row>
    <row r="136" spans="9:24" x14ac:dyDescent="0.2"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9:24" x14ac:dyDescent="0.2">
      <c r="I137" s="39"/>
      <c r="J137" s="39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39"/>
    </row>
    <row r="138" spans="9:24" x14ac:dyDescent="0.2">
      <c r="I138" s="39"/>
      <c r="J138" s="39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9"/>
    </row>
    <row r="139" spans="9:24" x14ac:dyDescent="0.2">
      <c r="I139" s="39"/>
      <c r="J139" s="39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39"/>
    </row>
    <row r="140" spans="9:24" x14ac:dyDescent="0.2">
      <c r="I140" s="39"/>
      <c r="J140" s="39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39"/>
    </row>
    <row r="141" spans="9:24" x14ac:dyDescent="0.2">
      <c r="I141" s="39"/>
      <c r="J141" s="39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9"/>
    </row>
    <row r="142" spans="9:24" x14ac:dyDescent="0.2">
      <c r="I142" s="39"/>
      <c r="J142" s="39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39"/>
    </row>
    <row r="143" spans="9:24" x14ac:dyDescent="0.2">
      <c r="I143" s="39"/>
      <c r="J143" s="39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39"/>
    </row>
    <row r="144" spans="9:24" x14ac:dyDescent="0.2">
      <c r="I144" s="39"/>
      <c r="J144" s="39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39"/>
    </row>
    <row r="145" spans="11:21" x14ac:dyDescent="0.2"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</row>
    <row r="146" spans="11:21" x14ac:dyDescent="0.2"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spans="11:21" x14ac:dyDescent="0.2"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</row>
    <row r="148" spans="11:21" x14ac:dyDescent="0.2"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spans="11:21" x14ac:dyDescent="0.2"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</row>
    <row r="150" spans="11:21" x14ac:dyDescent="0.2"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spans="11:21" x14ac:dyDescent="0.2"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</row>
    <row r="152" spans="11:21" x14ac:dyDescent="0.2"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spans="11:21" x14ac:dyDescent="0.2"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spans="11:21" x14ac:dyDescent="0.2"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1:21" x14ac:dyDescent="0.2"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spans="11:21" x14ac:dyDescent="0.2"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1:21" x14ac:dyDescent="0.2"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</row>
    <row r="158" spans="11:21" x14ac:dyDescent="0.2"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</row>
    <row r="159" spans="11:21" x14ac:dyDescent="0.2"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</row>
    <row r="160" spans="11:21" x14ac:dyDescent="0.2"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</row>
    <row r="161" spans="11:21" x14ac:dyDescent="0.2"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</row>
    <row r="162" spans="11:21" x14ac:dyDescent="0.2"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</row>
    <row r="163" spans="11:21" x14ac:dyDescent="0.2"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</row>
    <row r="164" spans="11:21" x14ac:dyDescent="0.2"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</row>
    <row r="165" spans="11:21" x14ac:dyDescent="0.2"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</row>
    <row r="166" spans="11:21" x14ac:dyDescent="0.2"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</row>
    <row r="167" spans="11:21" x14ac:dyDescent="0.2"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</row>
    <row r="168" spans="11:21" x14ac:dyDescent="0.2"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</row>
    <row r="169" spans="11:21" x14ac:dyDescent="0.2"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</row>
    <row r="170" spans="11:21" x14ac:dyDescent="0.2"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</row>
    <row r="171" spans="11:21" x14ac:dyDescent="0.2"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</row>
    <row r="172" spans="11:21" x14ac:dyDescent="0.2"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</row>
    <row r="173" spans="11:21" x14ac:dyDescent="0.2"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</row>
    <row r="174" spans="11:21" x14ac:dyDescent="0.2"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</row>
    <row r="175" spans="11:21" x14ac:dyDescent="0.2"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</row>
    <row r="176" spans="11:21" x14ac:dyDescent="0.2"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</row>
    <row r="177" spans="11:21" x14ac:dyDescent="0.2"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</row>
    <row r="178" spans="11:21" x14ac:dyDescent="0.2"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</row>
    <row r="179" spans="11:21" x14ac:dyDescent="0.2"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</row>
    <row r="180" spans="11:21" x14ac:dyDescent="0.2"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</row>
    <row r="181" spans="11:21" x14ac:dyDescent="0.2"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</row>
    <row r="182" spans="11:21" x14ac:dyDescent="0.2"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</row>
    <row r="183" spans="11:21" x14ac:dyDescent="0.2"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</row>
    <row r="184" spans="11:21" x14ac:dyDescent="0.2"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</row>
    <row r="185" spans="11:21" x14ac:dyDescent="0.2"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</row>
    <row r="186" spans="11:21" x14ac:dyDescent="0.2">
      <c r="K186" s="17"/>
      <c r="L186" s="17"/>
      <c r="M186" s="12"/>
      <c r="N186" s="12"/>
      <c r="O186" s="12"/>
      <c r="P186" s="12"/>
      <c r="Q186" s="12"/>
      <c r="R186" s="12"/>
      <c r="S186" s="12"/>
      <c r="T186" s="12"/>
      <c r="U186" s="12"/>
    </row>
    <row r="187" spans="11:21" x14ac:dyDescent="0.2"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</row>
    <row r="188" spans="11:21" x14ac:dyDescent="0.2"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</row>
    <row r="189" spans="11:21" x14ac:dyDescent="0.2"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</row>
    <row r="190" spans="11:21" x14ac:dyDescent="0.2"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</row>
    <row r="191" spans="11:21" x14ac:dyDescent="0.2"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</row>
    <row r="192" spans="11:21" x14ac:dyDescent="0.2"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</row>
    <row r="193" spans="11:21" x14ac:dyDescent="0.2"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</row>
    <row r="194" spans="11:21" x14ac:dyDescent="0.2"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</row>
    <row r="195" spans="11:21" x14ac:dyDescent="0.2"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</row>
    <row r="196" spans="11:21" x14ac:dyDescent="0.2"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</row>
    <row r="197" spans="11:21" x14ac:dyDescent="0.2"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</row>
    <row r="198" spans="11:21" x14ac:dyDescent="0.2"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</row>
    <row r="199" spans="11:21" x14ac:dyDescent="0.2"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</row>
    <row r="200" spans="11:21" x14ac:dyDescent="0.2"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</row>
    <row r="201" spans="11:21" x14ac:dyDescent="0.2"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</row>
    <row r="202" spans="11:21" x14ac:dyDescent="0.2"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</row>
    <row r="203" spans="11:21" x14ac:dyDescent="0.2"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</row>
    <row r="204" spans="11:21" x14ac:dyDescent="0.2"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</row>
  </sheetData>
  <mergeCells count="21">
    <mergeCell ref="B1:H1"/>
    <mergeCell ref="F43:H43"/>
    <mergeCell ref="F62:H62"/>
    <mergeCell ref="F64:F65"/>
    <mergeCell ref="G64:G65"/>
    <mergeCell ref="H64:H65"/>
    <mergeCell ref="G56:H56"/>
    <mergeCell ref="E56:F56"/>
    <mergeCell ref="G101:H101"/>
    <mergeCell ref="C56:D56"/>
    <mergeCell ref="F89:H89"/>
    <mergeCell ref="F108:H108"/>
    <mergeCell ref="F75:H75"/>
    <mergeCell ref="C70:D70"/>
    <mergeCell ref="E70:F70"/>
    <mergeCell ref="G70:H70"/>
    <mergeCell ref="C101:D101"/>
    <mergeCell ref="E101:F101"/>
    <mergeCell ref="F66:F67"/>
    <mergeCell ref="G66:G67"/>
    <mergeCell ref="H66:H67"/>
  </mergeCells>
  <pageMargins left="0.23622047244094488" right="0.23622047244094488" top="0.3543307086614173" bottom="0.3543307086614173" header="0.31496062992125984" footer="0.31496062992125984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Base_clg!$A$2:$A$56</xm:f>
          </x14:formula1>
          <xm:sqref>B1:H1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A178"/>
  <sheetViews>
    <sheetView zoomScale="85" zoomScaleNormal="85" workbookViewId="0">
      <pane xSplit="3" ySplit="1" topLeftCell="CM2" activePane="bottomRight" state="frozen"/>
      <selection pane="topRight" activeCell="D1" sqref="D1"/>
      <selection pane="bottomLeft" activeCell="A2" sqref="A2"/>
      <selection pane="bottomRight" activeCell="CY21" sqref="CY21"/>
    </sheetView>
  </sheetViews>
  <sheetFormatPr baseColWidth="10" defaultColWidth="13.85546875" defaultRowHeight="12.75" x14ac:dyDescent="0.2"/>
  <cols>
    <col min="1" max="1" width="50" style="30" bestFit="1" customWidth="1"/>
    <col min="2" max="32" width="13.85546875" style="30"/>
    <col min="33" max="33" width="12.140625" style="30" bestFit="1" customWidth="1"/>
    <col min="34" max="34" width="11.5703125" style="30" bestFit="1" customWidth="1"/>
    <col min="35" max="35" width="13.5703125" style="30" bestFit="1" customWidth="1"/>
    <col min="36" max="36" width="16.42578125" style="30" bestFit="1" customWidth="1"/>
    <col min="37" max="38" width="15.7109375" style="30" bestFit="1" customWidth="1"/>
    <col min="39" max="44" width="13.85546875" style="30"/>
    <col min="45" max="45" width="13.85546875" style="31" customWidth="1"/>
    <col min="46" max="46" width="13.85546875" style="31"/>
    <col min="47" max="47" width="13.85546875" style="30"/>
    <col min="48" max="49" width="13.85546875" style="31"/>
    <col min="50" max="53" width="13.85546875" style="30"/>
    <col min="54" max="54" width="0" style="32" hidden="1" customWidth="1"/>
    <col min="55" max="56" width="0" style="30" hidden="1" customWidth="1"/>
    <col min="57" max="59" width="13.85546875" style="30"/>
    <col min="60" max="60" width="16" style="30" bestFit="1" customWidth="1"/>
    <col min="61" max="62" width="15.42578125" style="30" bestFit="1" customWidth="1"/>
    <col min="63" max="63" width="17.5703125" style="30" bestFit="1" customWidth="1"/>
    <col min="64" max="65" width="17" style="30" bestFit="1" customWidth="1"/>
    <col min="66" max="66" width="17.42578125" style="30" bestFit="1" customWidth="1"/>
    <col min="67" max="68" width="16.85546875" style="30" bestFit="1" customWidth="1"/>
    <col min="69" max="69" width="18.5703125" style="30" bestFit="1" customWidth="1"/>
    <col min="70" max="71" width="17.85546875" style="30" bestFit="1" customWidth="1"/>
    <col min="72" max="72" width="14.42578125" style="30" bestFit="1" customWidth="1"/>
    <col min="73" max="83" width="13.85546875" style="30"/>
    <col min="84" max="89" width="13.85546875" style="30" hidden="1" customWidth="1"/>
    <col min="90" max="16384" width="13.85546875" style="30"/>
  </cols>
  <sheetData>
    <row r="1" spans="1:105" x14ac:dyDescent="0.2">
      <c r="A1" s="30" t="s">
        <v>138</v>
      </c>
      <c r="B1" s="30" t="s">
        <v>108</v>
      </c>
      <c r="C1" s="30" t="s">
        <v>109</v>
      </c>
      <c r="D1" s="30" t="s">
        <v>111</v>
      </c>
      <c r="E1" s="30" t="s">
        <v>110</v>
      </c>
      <c r="F1" s="30" t="s">
        <v>191</v>
      </c>
      <c r="G1" s="30" t="s">
        <v>192</v>
      </c>
      <c r="H1" s="30" t="s">
        <v>193</v>
      </c>
      <c r="I1" s="30" t="s">
        <v>299</v>
      </c>
      <c r="J1" s="30" t="s">
        <v>300</v>
      </c>
      <c r="K1" s="30" t="s">
        <v>301</v>
      </c>
      <c r="L1" s="30" t="s">
        <v>306</v>
      </c>
      <c r="M1" s="30" t="s">
        <v>307</v>
      </c>
      <c r="N1" s="30" t="s">
        <v>308</v>
      </c>
      <c r="O1" s="30" t="s">
        <v>310</v>
      </c>
      <c r="P1" s="30" t="s">
        <v>311</v>
      </c>
      <c r="Q1" s="30" t="s">
        <v>312</v>
      </c>
      <c r="R1" s="30" t="s">
        <v>262</v>
      </c>
      <c r="S1" s="30" t="s">
        <v>263</v>
      </c>
      <c r="T1" s="30" t="s">
        <v>264</v>
      </c>
      <c r="U1" s="30" t="s">
        <v>194</v>
      </c>
      <c r="V1" s="30" t="s">
        <v>195</v>
      </c>
      <c r="W1" s="30" t="s">
        <v>196</v>
      </c>
      <c r="X1" s="30" t="s">
        <v>197</v>
      </c>
      <c r="Y1" s="30" t="s">
        <v>198</v>
      </c>
      <c r="Z1" s="30" t="s">
        <v>199</v>
      </c>
      <c r="AA1" s="30" t="s">
        <v>200</v>
      </c>
      <c r="AB1" s="30" t="s">
        <v>201</v>
      </c>
      <c r="AC1" s="30" t="s">
        <v>202</v>
      </c>
      <c r="AD1" s="30" t="s">
        <v>203</v>
      </c>
      <c r="AE1" s="30" t="s">
        <v>204</v>
      </c>
      <c r="AF1" s="30" t="s">
        <v>205</v>
      </c>
      <c r="AG1" s="30" t="s">
        <v>255</v>
      </c>
      <c r="AH1" s="30" t="s">
        <v>256</v>
      </c>
      <c r="AI1" s="30" t="s">
        <v>257</v>
      </c>
      <c r="AJ1" s="30" t="s">
        <v>258</v>
      </c>
      <c r="AK1" s="30" t="s">
        <v>259</v>
      </c>
      <c r="AL1" s="30" t="s">
        <v>260</v>
      </c>
      <c r="AM1" s="30" t="s">
        <v>206</v>
      </c>
      <c r="AN1" s="30" t="s">
        <v>207</v>
      </c>
      <c r="AO1" s="30" t="s">
        <v>208</v>
      </c>
      <c r="AP1" s="30" t="s">
        <v>209</v>
      </c>
      <c r="AQ1" s="30" t="s">
        <v>210</v>
      </c>
      <c r="AR1" s="30" t="s">
        <v>211</v>
      </c>
      <c r="AS1" s="31" t="s">
        <v>212</v>
      </c>
      <c r="AT1" s="31" t="s">
        <v>213</v>
      </c>
      <c r="AU1" s="30" t="s">
        <v>214</v>
      </c>
      <c r="AV1" s="31" t="s">
        <v>215</v>
      </c>
      <c r="AW1" s="31" t="s">
        <v>216</v>
      </c>
      <c r="AX1" s="30" t="s">
        <v>217</v>
      </c>
      <c r="AY1" s="30" t="s">
        <v>218</v>
      </c>
      <c r="AZ1" s="30" t="s">
        <v>219</v>
      </c>
      <c r="BA1" s="30" t="s">
        <v>220</v>
      </c>
      <c r="BB1" s="32" t="s">
        <v>221</v>
      </c>
      <c r="BC1" s="30" t="s">
        <v>222</v>
      </c>
      <c r="BD1" s="30" t="s">
        <v>223</v>
      </c>
      <c r="BE1" s="30" t="s">
        <v>224</v>
      </c>
      <c r="BF1" s="30" t="s">
        <v>225</v>
      </c>
      <c r="BG1" s="30" t="s">
        <v>226</v>
      </c>
      <c r="BH1" s="30" t="s">
        <v>285</v>
      </c>
      <c r="BI1" s="30" t="s">
        <v>286</v>
      </c>
      <c r="BJ1" s="30" t="s">
        <v>287</v>
      </c>
      <c r="BK1" s="30" t="s">
        <v>288</v>
      </c>
      <c r="BL1" s="30" t="s">
        <v>289</v>
      </c>
      <c r="BM1" s="30" t="s">
        <v>290</v>
      </c>
      <c r="BN1" s="30" t="s">
        <v>291</v>
      </c>
      <c r="BO1" s="30" t="s">
        <v>292</v>
      </c>
      <c r="BP1" s="30" t="s">
        <v>293</v>
      </c>
      <c r="BQ1" s="30" t="s">
        <v>270</v>
      </c>
      <c r="BR1" s="30" t="s">
        <v>271</v>
      </c>
      <c r="BS1" s="30" t="s">
        <v>272</v>
      </c>
      <c r="BT1" s="30" t="s">
        <v>273</v>
      </c>
      <c r="BU1" s="30" t="s">
        <v>274</v>
      </c>
      <c r="BV1" s="30" t="s">
        <v>275</v>
      </c>
      <c r="BW1" s="30" t="s">
        <v>276</v>
      </c>
      <c r="BX1" s="30" t="s">
        <v>277</v>
      </c>
      <c r="BY1" s="30" t="s">
        <v>278</v>
      </c>
      <c r="BZ1" s="30" t="s">
        <v>279</v>
      </c>
      <c r="CA1" s="30" t="s">
        <v>280</v>
      </c>
      <c r="CB1" s="30" t="s">
        <v>281</v>
      </c>
      <c r="CC1" s="30" t="s">
        <v>282</v>
      </c>
      <c r="CD1" s="30" t="s">
        <v>283</v>
      </c>
      <c r="CE1" s="30" t="s">
        <v>284</v>
      </c>
      <c r="CF1" s="30" t="s">
        <v>250</v>
      </c>
      <c r="CG1" s="30" t="s">
        <v>251</v>
      </c>
      <c r="CH1" s="30" t="s">
        <v>252</v>
      </c>
      <c r="CI1" s="30" t="s">
        <v>227</v>
      </c>
      <c r="CJ1" s="30" t="s">
        <v>228</v>
      </c>
      <c r="CK1" s="30" t="s">
        <v>229</v>
      </c>
      <c r="CL1" s="30" t="s">
        <v>230</v>
      </c>
      <c r="CM1" s="30" t="s">
        <v>231</v>
      </c>
      <c r="CN1" s="30" t="s">
        <v>232</v>
      </c>
      <c r="CO1" s="30" t="s">
        <v>233</v>
      </c>
      <c r="CP1" s="30" t="s">
        <v>234</v>
      </c>
      <c r="CQ1" s="30" t="s">
        <v>235</v>
      </c>
      <c r="CR1" s="30" t="s">
        <v>236</v>
      </c>
      <c r="CS1" s="30" t="s">
        <v>237</v>
      </c>
      <c r="CT1" s="30" t="s">
        <v>238</v>
      </c>
      <c r="CV1" s="30" t="s">
        <v>302</v>
      </c>
      <c r="CW1" s="30" t="s">
        <v>303</v>
      </c>
      <c r="CX1" s="30" t="s">
        <v>304</v>
      </c>
    </row>
    <row r="2" spans="1:105" x14ac:dyDescent="0.2">
      <c r="A2" s="30" t="s">
        <v>139</v>
      </c>
      <c r="B2" s="30" t="s">
        <v>51</v>
      </c>
      <c r="C2" s="30" t="s">
        <v>27</v>
      </c>
      <c r="D2" s="30" t="s">
        <v>43</v>
      </c>
      <c r="E2" s="30" t="s">
        <v>112</v>
      </c>
      <c r="F2" s="31">
        <v>648</v>
      </c>
      <c r="G2" s="31" t="s">
        <v>10</v>
      </c>
      <c r="H2" s="31" t="s">
        <v>10</v>
      </c>
      <c r="I2" s="31">
        <v>497</v>
      </c>
      <c r="J2" s="31" t="s">
        <v>10</v>
      </c>
      <c r="K2" s="31" t="s">
        <v>10</v>
      </c>
      <c r="L2" s="31">
        <v>446</v>
      </c>
      <c r="M2" s="33" t="s">
        <v>10</v>
      </c>
      <c r="N2" s="33" t="s">
        <v>10</v>
      </c>
      <c r="O2" s="31">
        <v>451</v>
      </c>
      <c r="P2" s="33" t="s">
        <v>10</v>
      </c>
      <c r="Q2" s="33" t="s">
        <v>10</v>
      </c>
      <c r="R2" s="47">
        <v>96.9</v>
      </c>
      <c r="S2" s="60">
        <v>121</v>
      </c>
      <c r="T2" s="60">
        <v>127</v>
      </c>
      <c r="U2" s="60">
        <v>27.4</v>
      </c>
      <c r="V2" s="60">
        <v>46.1</v>
      </c>
      <c r="W2" s="60">
        <v>45.8</v>
      </c>
      <c r="X2" s="60">
        <v>30.6</v>
      </c>
      <c r="Y2" s="60">
        <v>16.399999999999999</v>
      </c>
      <c r="Z2" s="60">
        <v>16.399999999999999</v>
      </c>
      <c r="AA2" s="47">
        <v>113.3</v>
      </c>
      <c r="AB2" s="60">
        <v>96.4</v>
      </c>
      <c r="AC2" s="47">
        <v>96.6</v>
      </c>
      <c r="AD2" s="47">
        <v>13.1</v>
      </c>
      <c r="AE2" s="60">
        <v>9.8000000000000007</v>
      </c>
      <c r="AF2" s="60">
        <v>10.7</v>
      </c>
      <c r="AG2" s="61">
        <v>28.400000000000006</v>
      </c>
      <c r="AH2" s="61">
        <v>46.9</v>
      </c>
      <c r="AI2" s="61">
        <v>47.6</v>
      </c>
      <c r="AJ2" s="61">
        <v>37.1</v>
      </c>
      <c r="AK2" s="61">
        <v>60.6</v>
      </c>
      <c r="AL2" s="61">
        <v>63.2</v>
      </c>
      <c r="AM2" s="62">
        <v>1.25</v>
      </c>
      <c r="AN2" s="62">
        <v>1.36</v>
      </c>
      <c r="AO2" s="62">
        <v>1.36</v>
      </c>
      <c r="AP2" s="47">
        <v>25.2</v>
      </c>
      <c r="AQ2" s="47">
        <v>22.4</v>
      </c>
      <c r="AR2" s="47">
        <v>22.1</v>
      </c>
      <c r="AS2" s="47">
        <v>76.7</v>
      </c>
      <c r="AT2" s="60">
        <v>56</v>
      </c>
      <c r="AU2" s="64">
        <v>53.8</v>
      </c>
      <c r="AV2" s="47">
        <v>9.6</v>
      </c>
      <c r="AW2" s="60">
        <v>29.5</v>
      </c>
      <c r="AX2" s="64">
        <v>30.7</v>
      </c>
      <c r="AY2" s="47">
        <v>6.8</v>
      </c>
      <c r="AZ2" s="60">
        <v>8.1999999999999993</v>
      </c>
      <c r="BA2" s="32">
        <v>9.3000000000000007</v>
      </c>
      <c r="BE2" s="47">
        <v>0</v>
      </c>
      <c r="BF2" s="60">
        <v>0.5</v>
      </c>
      <c r="BG2" s="32">
        <v>0.7</v>
      </c>
      <c r="BH2" s="32">
        <v>91.6</v>
      </c>
      <c r="BI2" s="32">
        <v>88.6</v>
      </c>
      <c r="BJ2" s="32">
        <v>87.4</v>
      </c>
      <c r="BK2" s="32">
        <v>95.8</v>
      </c>
      <c r="BL2" s="32">
        <v>84.9</v>
      </c>
      <c r="BM2" s="32">
        <v>85.4</v>
      </c>
      <c r="BN2" s="47">
        <v>83.3</v>
      </c>
      <c r="BO2" s="32">
        <v>76.2</v>
      </c>
      <c r="BP2" s="32">
        <v>77</v>
      </c>
      <c r="BQ2" s="32">
        <v>90.6</v>
      </c>
      <c r="BR2" s="32">
        <v>86.3</v>
      </c>
      <c r="BS2" s="32">
        <v>86.3</v>
      </c>
      <c r="BT2" s="47">
        <v>-9.6459096459096543</v>
      </c>
      <c r="BU2" s="32">
        <v>-6.3</v>
      </c>
      <c r="BV2" s="32">
        <v>-5.9</v>
      </c>
      <c r="BW2" s="32">
        <v>10.7</v>
      </c>
      <c r="BX2" s="32">
        <v>9.1</v>
      </c>
      <c r="BY2" s="32">
        <v>8.9</v>
      </c>
      <c r="BZ2" s="63">
        <v>16.3</v>
      </c>
      <c r="CA2" s="63">
        <v>15.36</v>
      </c>
      <c r="CB2" s="63">
        <v>15.5</v>
      </c>
      <c r="CC2" s="32">
        <v>15.6</v>
      </c>
      <c r="CD2" s="32">
        <v>14.8</v>
      </c>
      <c r="CE2" s="32">
        <v>14.7</v>
      </c>
      <c r="CF2" s="32"/>
      <c r="CG2" s="32"/>
      <c r="CH2" s="32"/>
      <c r="CI2" s="32"/>
      <c r="CK2" s="33"/>
      <c r="CL2" s="32">
        <v>92.8</v>
      </c>
      <c r="CM2" s="32">
        <v>82.6</v>
      </c>
      <c r="CN2" s="32">
        <v>75.599999999999994</v>
      </c>
      <c r="CO2" s="32">
        <v>6.4</v>
      </c>
      <c r="CP2" s="32">
        <v>5.2</v>
      </c>
      <c r="CQ2" s="32">
        <v>5.3</v>
      </c>
      <c r="CR2" s="64">
        <v>46</v>
      </c>
      <c r="CS2" s="64">
        <v>42.5</v>
      </c>
      <c r="CT2" s="64">
        <v>42.9</v>
      </c>
      <c r="CU2" s="32" t="str">
        <f t="shared" ref="CU2:CU33" si="0">B2</f>
        <v>9830004M</v>
      </c>
      <c r="CV2" s="47">
        <v>26.905829596412556</v>
      </c>
      <c r="CW2" s="47">
        <v>35.323259846420605</v>
      </c>
      <c r="CX2" s="47">
        <v>37.207235798159317</v>
      </c>
      <c r="DA2" s="68"/>
    </row>
    <row r="3" spans="1:105" x14ac:dyDescent="0.2">
      <c r="A3" s="30" t="s">
        <v>140</v>
      </c>
      <c r="B3" s="30" t="s">
        <v>52</v>
      </c>
      <c r="C3" s="30" t="s">
        <v>27</v>
      </c>
      <c r="D3" s="30" t="s">
        <v>309</v>
      </c>
      <c r="E3" s="30" t="s">
        <v>112</v>
      </c>
      <c r="F3" s="31">
        <v>427</v>
      </c>
      <c r="G3" s="31">
        <v>58</v>
      </c>
      <c r="H3" s="31">
        <v>43</v>
      </c>
      <c r="I3" s="31">
        <v>308</v>
      </c>
      <c r="J3" s="31">
        <v>53</v>
      </c>
      <c r="K3" s="31">
        <v>60</v>
      </c>
      <c r="L3" s="31">
        <v>316</v>
      </c>
      <c r="M3" s="33">
        <v>53</v>
      </c>
      <c r="N3" s="31">
        <v>44</v>
      </c>
      <c r="O3" s="31">
        <v>322</v>
      </c>
      <c r="P3" s="33">
        <v>60</v>
      </c>
      <c r="Q3" s="33">
        <v>45</v>
      </c>
      <c r="R3" s="47">
        <v>145.5</v>
      </c>
      <c r="S3" s="60">
        <v>121</v>
      </c>
      <c r="T3" s="60">
        <v>127</v>
      </c>
      <c r="U3" s="60">
        <v>64.400000000000006</v>
      </c>
      <c r="V3" s="60">
        <v>46.1</v>
      </c>
      <c r="W3" s="60">
        <v>45.8</v>
      </c>
      <c r="X3" s="60">
        <v>12.1</v>
      </c>
      <c r="Y3" s="60">
        <v>16.399999999999999</v>
      </c>
      <c r="Z3" s="60">
        <v>16.399999999999999</v>
      </c>
      <c r="AA3" s="47">
        <v>91.2</v>
      </c>
      <c r="AB3" s="60">
        <v>96.4</v>
      </c>
      <c r="AC3" s="47">
        <v>96.6</v>
      </c>
      <c r="AD3" s="47">
        <v>13.4</v>
      </c>
      <c r="AE3" s="60">
        <v>9.8000000000000007</v>
      </c>
      <c r="AF3" s="60">
        <v>10.7</v>
      </c>
      <c r="AG3" s="61">
        <v>64.400000000000006</v>
      </c>
      <c r="AH3" s="61">
        <v>46.9</v>
      </c>
      <c r="AI3" s="61">
        <v>47.6</v>
      </c>
      <c r="AJ3" s="61">
        <v>78.2</v>
      </c>
      <c r="AK3" s="61">
        <v>60.6</v>
      </c>
      <c r="AL3" s="61">
        <v>63.2</v>
      </c>
      <c r="AM3" s="62">
        <v>1.58</v>
      </c>
      <c r="AN3" s="62">
        <v>1.36</v>
      </c>
      <c r="AO3" s="62">
        <v>1.36</v>
      </c>
      <c r="AP3" s="47">
        <v>21.5</v>
      </c>
      <c r="AQ3" s="47">
        <v>22.4</v>
      </c>
      <c r="AR3" s="47">
        <v>22.1</v>
      </c>
      <c r="AS3" s="47">
        <v>61.8</v>
      </c>
      <c r="AT3" s="60">
        <v>56</v>
      </c>
      <c r="AU3" s="64">
        <v>53.8</v>
      </c>
      <c r="AV3" s="47">
        <v>23.5</v>
      </c>
      <c r="AW3" s="60">
        <v>29.5</v>
      </c>
      <c r="AX3" s="64">
        <v>30.7</v>
      </c>
      <c r="AY3" s="47">
        <v>1.5</v>
      </c>
      <c r="AZ3" s="60">
        <v>8.1999999999999993</v>
      </c>
      <c r="BA3" s="32">
        <v>9.3000000000000007</v>
      </c>
      <c r="BE3" s="47">
        <v>0</v>
      </c>
      <c r="BF3" s="60">
        <v>0.5</v>
      </c>
      <c r="BG3" s="32">
        <v>0.7</v>
      </c>
      <c r="BH3" s="32">
        <v>78.8</v>
      </c>
      <c r="BI3" s="32">
        <v>88.6</v>
      </c>
      <c r="BJ3" s="32">
        <v>87.4</v>
      </c>
      <c r="BK3" s="32">
        <v>92</v>
      </c>
      <c r="BL3" s="32">
        <v>84.9</v>
      </c>
      <c r="BM3" s="32">
        <v>85.4</v>
      </c>
      <c r="BN3" s="47">
        <v>85.7</v>
      </c>
      <c r="BO3" s="32">
        <v>76.2</v>
      </c>
      <c r="BP3" s="32">
        <v>77</v>
      </c>
      <c r="BQ3" s="32">
        <v>84.9</v>
      </c>
      <c r="BR3" s="32">
        <v>86.3</v>
      </c>
      <c r="BS3" s="32">
        <v>86.3</v>
      </c>
      <c r="BT3" s="47">
        <v>-7.1537290715372848</v>
      </c>
      <c r="BU3" s="32">
        <v>-6.3</v>
      </c>
      <c r="BV3" s="32">
        <v>-5.9</v>
      </c>
      <c r="BW3" s="32">
        <v>7.5</v>
      </c>
      <c r="BX3" s="32">
        <v>9.1</v>
      </c>
      <c r="BY3" s="32">
        <v>8.9</v>
      </c>
      <c r="BZ3" s="63">
        <v>14.8</v>
      </c>
      <c r="CA3" s="63">
        <v>15.36</v>
      </c>
      <c r="CB3" s="63">
        <v>15.5</v>
      </c>
      <c r="CC3" s="32">
        <v>14.7</v>
      </c>
      <c r="CD3" s="32">
        <v>14.8</v>
      </c>
      <c r="CE3" s="32">
        <v>14.7</v>
      </c>
      <c r="CF3" s="32"/>
      <c r="CG3" s="32"/>
      <c r="CH3" s="32"/>
      <c r="CI3" s="32"/>
      <c r="CK3" s="33"/>
      <c r="CL3" s="32">
        <v>84.1</v>
      </c>
      <c r="CM3" s="32">
        <v>82.6</v>
      </c>
      <c r="CN3" s="32">
        <v>75.599999999999994</v>
      </c>
      <c r="CO3" s="32">
        <v>5</v>
      </c>
      <c r="CP3" s="32">
        <v>5.2</v>
      </c>
      <c r="CQ3" s="32">
        <v>5.3</v>
      </c>
      <c r="CR3" s="64">
        <v>42</v>
      </c>
      <c r="CS3" s="64">
        <v>42.5</v>
      </c>
      <c r="CT3" s="64">
        <v>42.9</v>
      </c>
      <c r="CU3" s="32" t="str">
        <f t="shared" si="0"/>
        <v>9830007R</v>
      </c>
      <c r="CV3" s="47">
        <v>42.088607594936711</v>
      </c>
      <c r="CW3" s="47">
        <v>35.323259846420605</v>
      </c>
      <c r="CX3" s="47">
        <v>37.207235798159317</v>
      </c>
      <c r="DA3" s="68"/>
    </row>
    <row r="4" spans="1:105" x14ac:dyDescent="0.2">
      <c r="A4" s="30" t="s">
        <v>141</v>
      </c>
      <c r="B4" s="30" t="s">
        <v>53</v>
      </c>
      <c r="C4" s="30" t="s">
        <v>27</v>
      </c>
      <c r="D4" s="30" t="s">
        <v>114</v>
      </c>
      <c r="E4" s="30" t="s">
        <v>112</v>
      </c>
      <c r="F4" s="31">
        <v>391</v>
      </c>
      <c r="G4" s="31">
        <v>62</v>
      </c>
      <c r="H4" s="31">
        <v>60</v>
      </c>
      <c r="I4" s="31">
        <v>314</v>
      </c>
      <c r="J4" s="31">
        <v>62</v>
      </c>
      <c r="K4" s="31">
        <v>26</v>
      </c>
      <c r="L4" s="31">
        <v>347</v>
      </c>
      <c r="M4" s="33">
        <v>59</v>
      </c>
      <c r="N4" s="31">
        <v>7</v>
      </c>
      <c r="O4" s="31">
        <v>344</v>
      </c>
      <c r="P4" s="33">
        <v>56</v>
      </c>
      <c r="Q4" s="33" t="s">
        <v>10</v>
      </c>
      <c r="R4" s="47">
        <v>122</v>
      </c>
      <c r="S4" s="60">
        <v>121</v>
      </c>
      <c r="T4" s="60">
        <v>127</v>
      </c>
      <c r="U4" s="60">
        <v>62</v>
      </c>
      <c r="V4" s="60">
        <v>46.1</v>
      </c>
      <c r="W4" s="60">
        <v>45.8</v>
      </c>
      <c r="X4" s="60">
        <v>10.9</v>
      </c>
      <c r="Y4" s="60">
        <v>16.399999999999999</v>
      </c>
      <c r="Z4" s="60">
        <v>16.399999999999999</v>
      </c>
      <c r="AA4" s="47">
        <v>87.3</v>
      </c>
      <c r="AB4" s="60">
        <v>96.4</v>
      </c>
      <c r="AC4" s="47">
        <v>96.6</v>
      </c>
      <c r="AD4" s="47">
        <v>12.2</v>
      </c>
      <c r="AE4" s="60">
        <v>9.8000000000000007</v>
      </c>
      <c r="AF4" s="60">
        <v>10.7</v>
      </c>
      <c r="AG4" s="61">
        <v>58.8</v>
      </c>
      <c r="AH4" s="61">
        <v>46.9</v>
      </c>
      <c r="AI4" s="61">
        <v>47.6</v>
      </c>
      <c r="AJ4" s="61">
        <v>75.5</v>
      </c>
      <c r="AK4" s="61">
        <v>60.6</v>
      </c>
      <c r="AL4" s="61">
        <v>63.2</v>
      </c>
      <c r="AM4" s="62">
        <v>1.34</v>
      </c>
      <c r="AN4" s="62">
        <v>1.36</v>
      </c>
      <c r="AO4" s="62">
        <v>1.36</v>
      </c>
      <c r="AP4" s="47">
        <v>23.6</v>
      </c>
      <c r="AQ4" s="47">
        <v>22.4</v>
      </c>
      <c r="AR4" s="47">
        <v>22.1</v>
      </c>
      <c r="AS4" s="47">
        <v>41.4</v>
      </c>
      <c r="AT4" s="60">
        <v>56</v>
      </c>
      <c r="AU4" s="64">
        <v>53.8</v>
      </c>
      <c r="AV4" s="47">
        <v>43.1</v>
      </c>
      <c r="AW4" s="60">
        <v>29.5</v>
      </c>
      <c r="AX4" s="64">
        <v>30.7</v>
      </c>
      <c r="AY4" s="47">
        <v>8.6</v>
      </c>
      <c r="AZ4" s="60">
        <v>8.1999999999999993</v>
      </c>
      <c r="BA4" s="32">
        <v>9.3000000000000007</v>
      </c>
      <c r="BE4" s="47">
        <v>1.7</v>
      </c>
      <c r="BF4" s="60">
        <v>0.5</v>
      </c>
      <c r="BG4" s="32">
        <v>0.7</v>
      </c>
      <c r="BH4" s="32">
        <v>88.4</v>
      </c>
      <c r="BI4" s="32">
        <v>88.6</v>
      </c>
      <c r="BJ4" s="32">
        <v>87.4</v>
      </c>
      <c r="BK4" s="32">
        <v>88.9</v>
      </c>
      <c r="BL4" s="32">
        <v>84.9</v>
      </c>
      <c r="BM4" s="32">
        <v>85.4</v>
      </c>
      <c r="BN4" s="47">
        <v>66.7</v>
      </c>
      <c r="BO4" s="32">
        <v>76.2</v>
      </c>
      <c r="BP4" s="32">
        <v>77</v>
      </c>
      <c r="BQ4" s="32">
        <v>88.8</v>
      </c>
      <c r="BR4" s="32">
        <v>86.3</v>
      </c>
      <c r="BS4" s="32">
        <v>86.3</v>
      </c>
      <c r="BT4" s="47">
        <v>-0.66880684858213613</v>
      </c>
      <c r="BU4" s="32">
        <v>-6.3</v>
      </c>
      <c r="BV4" s="32">
        <v>-5.9</v>
      </c>
      <c r="BW4" s="32">
        <v>8.6</v>
      </c>
      <c r="BX4" s="32">
        <v>9.1</v>
      </c>
      <c r="BY4" s="32">
        <v>8.9</v>
      </c>
      <c r="BZ4" s="63">
        <v>14.5</v>
      </c>
      <c r="CA4" s="63">
        <v>15.36</v>
      </c>
      <c r="CB4" s="63">
        <v>15.5</v>
      </c>
      <c r="CC4" s="32">
        <v>15.4</v>
      </c>
      <c r="CD4" s="32">
        <v>14.8</v>
      </c>
      <c r="CE4" s="32">
        <v>14.7</v>
      </c>
      <c r="CF4" s="32"/>
      <c r="CG4" s="32"/>
      <c r="CH4" s="32"/>
      <c r="CI4" s="32"/>
      <c r="CK4" s="33"/>
      <c r="CL4" s="32">
        <v>81.099999999999994</v>
      </c>
      <c r="CM4" s="32">
        <v>82.6</v>
      </c>
      <c r="CN4" s="32">
        <v>75.599999999999994</v>
      </c>
      <c r="CO4" s="32">
        <v>3.9</v>
      </c>
      <c r="CP4" s="32">
        <v>5.2</v>
      </c>
      <c r="CQ4" s="32">
        <v>5.3</v>
      </c>
      <c r="CR4" s="64">
        <v>40.9</v>
      </c>
      <c r="CS4" s="64">
        <v>42.5</v>
      </c>
      <c r="CT4" s="64">
        <v>42.9</v>
      </c>
      <c r="CU4" s="32" t="str">
        <f t="shared" si="0"/>
        <v>9830008S</v>
      </c>
      <c r="CV4" s="47">
        <v>53.89048991354467</v>
      </c>
      <c r="CW4" s="47">
        <v>35.323259846420605</v>
      </c>
      <c r="CX4" s="47">
        <v>37.207235798159317</v>
      </c>
      <c r="DA4" s="68"/>
    </row>
    <row r="5" spans="1:105" x14ac:dyDescent="0.2">
      <c r="A5" s="30" t="s">
        <v>142</v>
      </c>
      <c r="B5" s="30" t="s">
        <v>54</v>
      </c>
      <c r="C5" s="30" t="s">
        <v>27</v>
      </c>
      <c r="D5" s="30" t="s">
        <v>115</v>
      </c>
      <c r="E5" s="30" t="s">
        <v>112</v>
      </c>
      <c r="F5" s="31">
        <v>415</v>
      </c>
      <c r="G5" s="31" t="s">
        <v>10</v>
      </c>
      <c r="H5" s="31">
        <v>46</v>
      </c>
      <c r="I5" s="31">
        <v>326</v>
      </c>
      <c r="J5" s="31" t="s">
        <v>10</v>
      </c>
      <c r="K5" s="31">
        <v>44</v>
      </c>
      <c r="L5" s="31">
        <v>317</v>
      </c>
      <c r="M5" s="33" t="s">
        <v>10</v>
      </c>
      <c r="N5" s="31">
        <v>41</v>
      </c>
      <c r="O5" s="31">
        <v>330</v>
      </c>
      <c r="P5" s="33" t="s">
        <v>10</v>
      </c>
      <c r="Q5" s="33">
        <v>43</v>
      </c>
      <c r="R5" s="47">
        <v>115.9</v>
      </c>
      <c r="S5" s="60">
        <v>121</v>
      </c>
      <c r="T5" s="60">
        <v>127</v>
      </c>
      <c r="U5" s="60">
        <v>61</v>
      </c>
      <c r="V5" s="60">
        <v>46.1</v>
      </c>
      <c r="W5" s="60">
        <v>45.8</v>
      </c>
      <c r="X5" s="60">
        <v>4.9000000000000004</v>
      </c>
      <c r="Y5" s="60">
        <v>16.399999999999999</v>
      </c>
      <c r="Z5" s="60">
        <v>16.399999999999999</v>
      </c>
      <c r="AA5" s="47">
        <v>83.9</v>
      </c>
      <c r="AB5" s="60">
        <v>96.4</v>
      </c>
      <c r="AC5" s="47">
        <v>96.6</v>
      </c>
      <c r="AD5" s="47">
        <v>16.899999999999999</v>
      </c>
      <c r="AE5" s="60">
        <v>9.8000000000000007</v>
      </c>
      <c r="AF5" s="60">
        <v>10.7</v>
      </c>
      <c r="AG5" s="61">
        <v>53.8</v>
      </c>
      <c r="AH5" s="61">
        <v>46.9</v>
      </c>
      <c r="AI5" s="61">
        <v>47.6</v>
      </c>
      <c r="AJ5" s="61">
        <v>77.400000000000006</v>
      </c>
      <c r="AK5" s="61">
        <v>60.6</v>
      </c>
      <c r="AL5" s="61">
        <v>63.2</v>
      </c>
      <c r="AM5" s="62">
        <v>1.3</v>
      </c>
      <c r="AN5" s="62">
        <v>1.36</v>
      </c>
      <c r="AO5" s="62">
        <v>1.36</v>
      </c>
      <c r="AP5" s="47">
        <v>24.8</v>
      </c>
      <c r="AQ5" s="47">
        <v>22.4</v>
      </c>
      <c r="AR5" s="47">
        <v>22.1</v>
      </c>
      <c r="AS5" s="47">
        <v>40.799999999999997</v>
      </c>
      <c r="AT5" s="60">
        <v>56</v>
      </c>
      <c r="AU5" s="64">
        <v>53.8</v>
      </c>
      <c r="AV5" s="47">
        <v>36.700000000000003</v>
      </c>
      <c r="AW5" s="60">
        <v>29.5</v>
      </c>
      <c r="AX5" s="64">
        <v>30.7</v>
      </c>
      <c r="AY5" s="47">
        <v>8.1999999999999993</v>
      </c>
      <c r="AZ5" s="60">
        <v>8.1999999999999993</v>
      </c>
      <c r="BA5" s="32">
        <v>9.3000000000000007</v>
      </c>
      <c r="BE5" s="47">
        <v>0</v>
      </c>
      <c r="BF5" s="60">
        <v>0.5</v>
      </c>
      <c r="BG5" s="32">
        <v>0.7</v>
      </c>
      <c r="BH5" s="32">
        <v>92.3</v>
      </c>
      <c r="BI5" s="32">
        <v>88.6</v>
      </c>
      <c r="BJ5" s="32">
        <v>87.4</v>
      </c>
      <c r="BK5" s="32">
        <v>80</v>
      </c>
      <c r="BL5" s="32">
        <v>84.9</v>
      </c>
      <c r="BM5" s="32">
        <v>85.4</v>
      </c>
      <c r="BN5" s="47">
        <v>56.3</v>
      </c>
      <c r="BO5" s="32">
        <v>76.2</v>
      </c>
      <c r="BP5" s="32">
        <v>77</v>
      </c>
      <c r="BQ5" s="32">
        <v>74.2</v>
      </c>
      <c r="BR5" s="32">
        <v>86.3</v>
      </c>
      <c r="BS5" s="32">
        <v>86.3</v>
      </c>
      <c r="BT5" s="47">
        <v>-16.347687400318982</v>
      </c>
      <c r="BU5" s="32">
        <v>-6.3</v>
      </c>
      <c r="BV5" s="32">
        <v>-5.9</v>
      </c>
      <c r="BW5" s="32">
        <v>8.6</v>
      </c>
      <c r="BX5" s="32">
        <v>9.1</v>
      </c>
      <c r="BY5" s="32">
        <v>8.9</v>
      </c>
      <c r="BZ5" s="63">
        <v>15.3</v>
      </c>
      <c r="CA5" s="63">
        <v>15.36</v>
      </c>
      <c r="CB5" s="63">
        <v>15.5</v>
      </c>
      <c r="CC5" s="32">
        <v>12.4</v>
      </c>
      <c r="CD5" s="32">
        <v>14.8</v>
      </c>
      <c r="CE5" s="32">
        <v>14.7</v>
      </c>
      <c r="CF5" s="32"/>
      <c r="CG5" s="32"/>
      <c r="CH5" s="32"/>
      <c r="CI5" s="32"/>
      <c r="CK5" s="33"/>
      <c r="CL5" s="32">
        <v>81.599999999999994</v>
      </c>
      <c r="CM5" s="32">
        <v>82.6</v>
      </c>
      <c r="CN5" s="32">
        <v>75.599999999999994</v>
      </c>
      <c r="CO5" s="32">
        <v>7.4</v>
      </c>
      <c r="CP5" s="32">
        <v>5.2</v>
      </c>
      <c r="CQ5" s="32">
        <v>5.3</v>
      </c>
      <c r="CR5" s="64">
        <v>43.7</v>
      </c>
      <c r="CS5" s="64">
        <v>42.5</v>
      </c>
      <c r="CT5" s="64">
        <v>42.9</v>
      </c>
      <c r="CU5" s="32" t="str">
        <f t="shared" si="0"/>
        <v>9830009T</v>
      </c>
      <c r="CV5" s="47">
        <v>52.996845425867512</v>
      </c>
      <c r="CW5" s="47">
        <v>35.323259846420605</v>
      </c>
      <c r="CX5" s="47">
        <v>37.207235798159317</v>
      </c>
      <c r="DA5" s="68"/>
    </row>
    <row r="6" spans="1:105" x14ac:dyDescent="0.2">
      <c r="A6" s="30" t="s">
        <v>143</v>
      </c>
      <c r="B6" s="30" t="s">
        <v>55</v>
      </c>
      <c r="C6" s="30" t="s">
        <v>27</v>
      </c>
      <c r="D6" s="30" t="s">
        <v>118</v>
      </c>
      <c r="E6" s="30" t="s">
        <v>112</v>
      </c>
      <c r="F6" s="31">
        <v>257</v>
      </c>
      <c r="G6" s="31">
        <v>66</v>
      </c>
      <c r="H6" s="31">
        <v>9</v>
      </c>
      <c r="I6" s="31">
        <v>259</v>
      </c>
      <c r="J6" s="31">
        <v>58</v>
      </c>
      <c r="K6" s="31" t="s">
        <v>10</v>
      </c>
      <c r="L6" s="31">
        <v>245</v>
      </c>
      <c r="M6" s="33">
        <v>47</v>
      </c>
      <c r="N6" s="33" t="s">
        <v>10</v>
      </c>
      <c r="O6" s="31">
        <v>258</v>
      </c>
      <c r="P6" s="33">
        <v>50</v>
      </c>
      <c r="Q6" s="33" t="s">
        <v>10</v>
      </c>
      <c r="R6" s="47">
        <v>112.5</v>
      </c>
      <c r="S6" s="60">
        <v>121</v>
      </c>
      <c r="T6" s="60">
        <v>127</v>
      </c>
      <c r="U6" s="60">
        <v>53.7</v>
      </c>
      <c r="V6" s="60">
        <v>46.1</v>
      </c>
      <c r="W6" s="60">
        <v>45.8</v>
      </c>
      <c r="X6" s="60">
        <v>9.8000000000000007</v>
      </c>
      <c r="Y6" s="60">
        <v>16.399999999999999</v>
      </c>
      <c r="Z6" s="60">
        <v>16.399999999999999</v>
      </c>
      <c r="AA6" s="47">
        <v>90.2</v>
      </c>
      <c r="AB6" s="60">
        <v>96.4</v>
      </c>
      <c r="AC6" s="47">
        <v>96.6</v>
      </c>
      <c r="AD6" s="47">
        <v>10.5</v>
      </c>
      <c r="AE6" s="60">
        <v>9.8000000000000007</v>
      </c>
      <c r="AF6" s="60">
        <v>10.7</v>
      </c>
      <c r="AG6" s="61">
        <v>48.4</v>
      </c>
      <c r="AH6" s="61">
        <v>46.9</v>
      </c>
      <c r="AI6" s="61">
        <v>47.6</v>
      </c>
      <c r="AJ6" s="61">
        <v>61.3</v>
      </c>
      <c r="AK6" s="61">
        <v>60.6</v>
      </c>
      <c r="AL6" s="61">
        <v>63.2</v>
      </c>
      <c r="AM6" s="62">
        <v>1.44</v>
      </c>
      <c r="AN6" s="62">
        <v>1.36</v>
      </c>
      <c r="AO6" s="62">
        <v>1.36</v>
      </c>
      <c r="AP6" s="47">
        <v>20.399999999999999</v>
      </c>
      <c r="AQ6" s="47">
        <v>22.4</v>
      </c>
      <c r="AR6" s="47">
        <v>22.1</v>
      </c>
      <c r="AS6" s="47">
        <v>38.200000000000003</v>
      </c>
      <c r="AT6" s="60">
        <v>56</v>
      </c>
      <c r="AU6" s="64">
        <v>53.8</v>
      </c>
      <c r="AV6" s="47">
        <v>42.6</v>
      </c>
      <c r="AW6" s="60">
        <v>29.5</v>
      </c>
      <c r="AX6" s="64">
        <v>30.7</v>
      </c>
      <c r="AY6" s="47">
        <v>13.2</v>
      </c>
      <c r="AZ6" s="60">
        <v>8.1999999999999993</v>
      </c>
      <c r="BA6" s="32">
        <v>9.3000000000000007</v>
      </c>
      <c r="BE6" s="47">
        <v>0</v>
      </c>
      <c r="BF6" s="60">
        <v>0.5</v>
      </c>
      <c r="BG6" s="32">
        <v>0.7</v>
      </c>
      <c r="BH6" s="32">
        <v>100</v>
      </c>
      <c r="BI6" s="32">
        <v>88.6</v>
      </c>
      <c r="BJ6" s="32">
        <v>87.4</v>
      </c>
      <c r="BK6" s="32">
        <v>92</v>
      </c>
      <c r="BL6" s="32">
        <v>84.9</v>
      </c>
      <c r="BM6" s="32">
        <v>85.4</v>
      </c>
      <c r="BN6" s="47">
        <v>75</v>
      </c>
      <c r="BO6" s="32">
        <v>76.2</v>
      </c>
      <c r="BP6" s="32">
        <v>77</v>
      </c>
      <c r="BQ6" s="32">
        <v>73.900000000000006</v>
      </c>
      <c r="BR6" s="32">
        <v>86.3</v>
      </c>
      <c r="BS6" s="32">
        <v>86.3</v>
      </c>
      <c r="BT6" s="47">
        <v>-6.1711079943898994</v>
      </c>
      <c r="BU6" s="32">
        <v>-6.3</v>
      </c>
      <c r="BV6" s="32">
        <v>-5.9</v>
      </c>
      <c r="BW6" s="32">
        <v>8.8000000000000007</v>
      </c>
      <c r="BX6" s="32">
        <v>9.1</v>
      </c>
      <c r="BY6" s="32">
        <v>8.9</v>
      </c>
      <c r="BZ6" s="63">
        <v>16.100000000000001</v>
      </c>
      <c r="CA6" s="63">
        <v>15.36</v>
      </c>
      <c r="CB6" s="63">
        <v>15.5</v>
      </c>
      <c r="CC6" s="32">
        <v>13</v>
      </c>
      <c r="CD6" s="32">
        <v>14.8</v>
      </c>
      <c r="CE6" s="32">
        <v>14.7</v>
      </c>
      <c r="CF6" s="32"/>
      <c r="CG6" s="32"/>
      <c r="CH6" s="32"/>
      <c r="CI6" s="32"/>
      <c r="CK6" s="33"/>
      <c r="CL6" s="32">
        <v>89.7</v>
      </c>
      <c r="CM6" s="32">
        <v>82.6</v>
      </c>
      <c r="CN6" s="32">
        <v>75.599999999999994</v>
      </c>
      <c r="CO6" s="32">
        <v>9.1</v>
      </c>
      <c r="CP6" s="32">
        <v>5.2</v>
      </c>
      <c r="CQ6" s="32">
        <v>5.3</v>
      </c>
      <c r="CR6" s="64">
        <v>45.9</v>
      </c>
      <c r="CS6" s="64">
        <v>42.5</v>
      </c>
      <c r="CT6" s="64">
        <v>42.9</v>
      </c>
      <c r="CU6" s="32" t="str">
        <f t="shared" si="0"/>
        <v>9830010U</v>
      </c>
      <c r="CV6" s="47">
        <v>35.918367346938773</v>
      </c>
      <c r="CW6" s="47">
        <v>35.323259846420605</v>
      </c>
      <c r="CX6" s="47">
        <v>37.207235798159317</v>
      </c>
      <c r="DA6" s="68"/>
    </row>
    <row r="7" spans="1:105" x14ac:dyDescent="0.2">
      <c r="A7" s="30" t="s">
        <v>144</v>
      </c>
      <c r="B7" s="30" t="s">
        <v>56</v>
      </c>
      <c r="C7" s="30" t="s">
        <v>104</v>
      </c>
      <c r="D7" s="30" t="s">
        <v>43</v>
      </c>
      <c r="E7" s="30" t="s">
        <v>113</v>
      </c>
      <c r="F7" s="31">
        <v>451</v>
      </c>
      <c r="G7" s="31" t="s">
        <v>10</v>
      </c>
      <c r="H7" s="31" t="s">
        <v>10</v>
      </c>
      <c r="I7" s="31">
        <v>332</v>
      </c>
      <c r="J7" s="31" t="s">
        <v>10</v>
      </c>
      <c r="K7" s="31" t="s">
        <v>10</v>
      </c>
      <c r="L7" s="31">
        <v>351</v>
      </c>
      <c r="M7" s="33" t="s">
        <v>10</v>
      </c>
      <c r="N7" s="33" t="s">
        <v>10</v>
      </c>
      <c r="O7" s="31">
        <v>348</v>
      </c>
      <c r="P7" s="33" t="s">
        <v>10</v>
      </c>
      <c r="Q7" s="33" t="s">
        <v>10</v>
      </c>
      <c r="R7" s="47">
        <v>99.1</v>
      </c>
      <c r="S7" s="60">
        <v>136.80000000000001</v>
      </c>
      <c r="T7" s="60">
        <v>127</v>
      </c>
      <c r="U7" s="60">
        <v>38.4</v>
      </c>
      <c r="V7" s="60">
        <v>44.7</v>
      </c>
      <c r="W7" s="60">
        <v>45.8</v>
      </c>
      <c r="X7" s="60">
        <v>6.7</v>
      </c>
      <c r="Y7" s="60">
        <v>16.3</v>
      </c>
      <c r="Z7" s="60">
        <v>16.399999999999999</v>
      </c>
      <c r="AA7" s="47">
        <v>94.3</v>
      </c>
      <c r="AB7" s="60">
        <v>97.3</v>
      </c>
      <c r="AC7" s="47">
        <v>96.6</v>
      </c>
      <c r="AD7" s="47">
        <v>18</v>
      </c>
      <c r="AE7" s="60">
        <v>13.8</v>
      </c>
      <c r="AF7" s="60">
        <v>10.7</v>
      </c>
      <c r="AG7" s="61">
        <v>61.2</v>
      </c>
      <c r="AH7" s="61">
        <v>49.9</v>
      </c>
      <c r="AI7" s="61">
        <v>47.6</v>
      </c>
      <c r="AJ7" s="61">
        <v>84.3</v>
      </c>
      <c r="AK7" s="61">
        <v>72.099999999999994</v>
      </c>
      <c r="AL7" s="61">
        <v>63.2</v>
      </c>
      <c r="AM7" s="62">
        <v>1.05</v>
      </c>
      <c r="AN7" s="62">
        <v>1.38</v>
      </c>
      <c r="AO7" s="62">
        <v>1.36</v>
      </c>
      <c r="AP7" s="47">
        <v>25.7</v>
      </c>
      <c r="AQ7" s="47">
        <v>21.2</v>
      </c>
      <c r="AR7" s="47">
        <v>22.1</v>
      </c>
      <c r="AS7" s="47">
        <v>40.200000000000003</v>
      </c>
      <c r="AT7" s="60">
        <v>46.4</v>
      </c>
      <c r="AU7" s="64">
        <v>53.8</v>
      </c>
      <c r="AV7" s="47">
        <v>47.4</v>
      </c>
      <c r="AW7" s="60">
        <v>34.4</v>
      </c>
      <c r="AX7" s="64">
        <v>30.7</v>
      </c>
      <c r="AY7" s="47">
        <v>8.1999999999999993</v>
      </c>
      <c r="AZ7" s="60">
        <v>12.8</v>
      </c>
      <c r="BA7" s="32">
        <v>9.3000000000000007</v>
      </c>
      <c r="BE7" s="47">
        <v>0</v>
      </c>
      <c r="BF7" s="60">
        <v>1.2</v>
      </c>
      <c r="BG7" s="32">
        <v>0.7</v>
      </c>
      <c r="BH7" s="32">
        <v>77.099999999999994</v>
      </c>
      <c r="BI7" s="32">
        <v>82.4</v>
      </c>
      <c r="BJ7" s="32">
        <v>87.4</v>
      </c>
      <c r="BK7" s="32">
        <v>92.3</v>
      </c>
      <c r="BL7" s="32">
        <v>86.8</v>
      </c>
      <c r="BM7" s="32">
        <v>85.4</v>
      </c>
      <c r="BN7" s="47">
        <v>72.7</v>
      </c>
      <c r="BO7" s="32">
        <v>78.5</v>
      </c>
      <c r="BP7" s="32">
        <v>77</v>
      </c>
      <c r="BQ7" s="32">
        <v>69.900000000000006</v>
      </c>
      <c r="BR7" s="32">
        <v>86.5</v>
      </c>
      <c r="BS7" s="32">
        <v>86.3</v>
      </c>
      <c r="BT7" s="47">
        <v>-10.433013658820109</v>
      </c>
      <c r="BU7" s="32">
        <v>-4.5</v>
      </c>
      <c r="BV7" s="32">
        <v>-5.9</v>
      </c>
      <c r="BW7" s="32">
        <v>6.6</v>
      </c>
      <c r="BX7" s="32">
        <v>8.1</v>
      </c>
      <c r="BY7" s="32">
        <v>8.9</v>
      </c>
      <c r="BZ7" s="63">
        <v>15.1</v>
      </c>
      <c r="CA7" s="63">
        <v>16.100000000000001</v>
      </c>
      <c r="CB7" s="63">
        <v>15.5</v>
      </c>
      <c r="CC7" s="32">
        <v>13.4</v>
      </c>
      <c r="CD7" s="32">
        <v>14.4</v>
      </c>
      <c r="CE7" s="32">
        <v>14.7</v>
      </c>
      <c r="CF7" s="32"/>
      <c r="CG7" s="32"/>
      <c r="CH7" s="32"/>
      <c r="CI7" s="33"/>
      <c r="CJ7" s="33"/>
      <c r="CK7" s="33"/>
      <c r="CL7" s="32">
        <v>65.7</v>
      </c>
      <c r="CM7" s="32">
        <v>51.7</v>
      </c>
      <c r="CN7" s="32">
        <v>75.599999999999994</v>
      </c>
      <c r="CO7" s="32">
        <v>3.6</v>
      </c>
      <c r="CP7" s="32">
        <v>5.6</v>
      </c>
      <c r="CQ7" s="32">
        <v>5.3</v>
      </c>
      <c r="CR7" s="64">
        <v>39.4</v>
      </c>
      <c r="CS7" s="64">
        <v>44.2</v>
      </c>
      <c r="CT7" s="64">
        <v>42.9</v>
      </c>
      <c r="CU7" s="32" t="str">
        <f t="shared" si="0"/>
        <v>9830259P</v>
      </c>
      <c r="CV7" s="47">
        <v>37.037037037037038</v>
      </c>
      <c r="CW7" s="47">
        <v>43.468715697036224</v>
      </c>
      <c r="CX7" s="47">
        <v>37.207235798159317</v>
      </c>
      <c r="DA7" s="68"/>
    </row>
    <row r="8" spans="1:105" x14ac:dyDescent="0.2">
      <c r="A8" s="30" t="s">
        <v>145</v>
      </c>
      <c r="B8" s="30" t="s">
        <v>57</v>
      </c>
      <c r="C8" s="30" t="s">
        <v>104</v>
      </c>
      <c r="D8" s="30" t="s">
        <v>43</v>
      </c>
      <c r="E8" s="30" t="s">
        <v>113</v>
      </c>
      <c r="F8" s="31">
        <v>690</v>
      </c>
      <c r="G8" s="31" t="s">
        <v>10</v>
      </c>
      <c r="H8" s="31" t="s">
        <v>10</v>
      </c>
      <c r="I8" s="31">
        <v>660</v>
      </c>
      <c r="J8" s="31" t="s">
        <v>10</v>
      </c>
      <c r="K8" s="31" t="s">
        <v>10</v>
      </c>
      <c r="L8" s="31">
        <v>658</v>
      </c>
      <c r="M8" s="33" t="s">
        <v>10</v>
      </c>
      <c r="N8" s="33" t="s">
        <v>10</v>
      </c>
      <c r="O8" s="31">
        <v>645</v>
      </c>
      <c r="P8" s="33" t="s">
        <v>10</v>
      </c>
      <c r="Q8" s="33" t="s">
        <v>10</v>
      </c>
      <c r="R8" s="47">
        <v>98.4</v>
      </c>
      <c r="S8" s="60">
        <v>136.80000000000001</v>
      </c>
      <c r="T8" s="60">
        <v>127</v>
      </c>
      <c r="U8" s="60">
        <v>11.7</v>
      </c>
      <c r="V8" s="60">
        <v>44.7</v>
      </c>
      <c r="W8" s="60">
        <v>45.8</v>
      </c>
      <c r="X8" s="60">
        <v>42.2</v>
      </c>
      <c r="Y8" s="60">
        <v>16.3</v>
      </c>
      <c r="Z8" s="60">
        <v>16.399999999999999</v>
      </c>
      <c r="AA8" s="47">
        <v>122</v>
      </c>
      <c r="AB8" s="60">
        <v>97.3</v>
      </c>
      <c r="AC8" s="47">
        <v>96.6</v>
      </c>
      <c r="AD8" s="47">
        <v>2.2999999999999998</v>
      </c>
      <c r="AE8" s="60">
        <v>13.8</v>
      </c>
      <c r="AF8" s="60">
        <v>10.7</v>
      </c>
      <c r="AG8" s="61">
        <v>20.700000000000003</v>
      </c>
      <c r="AH8" s="61">
        <v>49.9</v>
      </c>
      <c r="AI8" s="61">
        <v>47.6</v>
      </c>
      <c r="AJ8" s="61">
        <v>31</v>
      </c>
      <c r="AK8" s="61">
        <v>72.099999999999994</v>
      </c>
      <c r="AL8" s="61">
        <v>63.2</v>
      </c>
      <c r="AM8" s="62">
        <v>1.08</v>
      </c>
      <c r="AN8" s="62">
        <v>1.38</v>
      </c>
      <c r="AO8" s="62">
        <v>1.36</v>
      </c>
      <c r="AP8" s="47">
        <v>27.4</v>
      </c>
      <c r="AQ8" s="47">
        <v>21.2</v>
      </c>
      <c r="AR8" s="47">
        <v>22.1</v>
      </c>
      <c r="AS8" s="47">
        <v>81.3</v>
      </c>
      <c r="AT8" s="60">
        <v>46.4</v>
      </c>
      <c r="AU8" s="64">
        <v>53.8</v>
      </c>
      <c r="AV8" s="47">
        <v>17.5</v>
      </c>
      <c r="AW8" s="60">
        <v>34.4</v>
      </c>
      <c r="AX8" s="64">
        <v>30.7</v>
      </c>
      <c r="AY8" s="47">
        <v>0</v>
      </c>
      <c r="AZ8" s="60">
        <v>12.8</v>
      </c>
      <c r="BA8" s="32">
        <v>9.3000000000000007</v>
      </c>
      <c r="BE8" s="47">
        <v>0.6</v>
      </c>
      <c r="BF8" s="60">
        <v>1.2</v>
      </c>
      <c r="BG8" s="32">
        <v>0.7</v>
      </c>
      <c r="BH8" s="32">
        <v>93.2</v>
      </c>
      <c r="BI8" s="32">
        <v>82.4</v>
      </c>
      <c r="BJ8" s="32">
        <v>87.4</v>
      </c>
      <c r="BK8" s="32">
        <v>96.3</v>
      </c>
      <c r="BL8" s="32">
        <v>86.8</v>
      </c>
      <c r="BM8" s="32">
        <v>85.4</v>
      </c>
      <c r="BN8" s="66"/>
      <c r="BO8" s="32">
        <v>78.5</v>
      </c>
      <c r="BP8" s="32">
        <v>77</v>
      </c>
      <c r="BQ8" s="32">
        <v>97.9</v>
      </c>
      <c r="BR8" s="32">
        <v>86.5</v>
      </c>
      <c r="BS8" s="32">
        <v>86.3</v>
      </c>
      <c r="BT8" s="47">
        <v>-2.7071102413568298</v>
      </c>
      <c r="BU8" s="32">
        <v>-4.5</v>
      </c>
      <c r="BV8" s="32">
        <v>-5.9</v>
      </c>
      <c r="BW8" s="32">
        <v>11.6</v>
      </c>
      <c r="BX8" s="32">
        <v>8.1</v>
      </c>
      <c r="BY8" s="32">
        <v>8.9</v>
      </c>
      <c r="BZ8" s="63">
        <v>16.899999999999999</v>
      </c>
      <c r="CA8" s="63">
        <v>16.100000000000001</v>
      </c>
      <c r="CB8" s="63">
        <v>15.5</v>
      </c>
      <c r="CC8" s="32">
        <v>16</v>
      </c>
      <c r="CD8" s="32">
        <v>14.4</v>
      </c>
      <c r="CE8" s="32">
        <v>14.7</v>
      </c>
      <c r="CF8" s="32"/>
      <c r="CG8" s="32"/>
      <c r="CH8" s="32"/>
      <c r="CI8" s="33"/>
      <c r="CJ8" s="33"/>
      <c r="CK8" s="33"/>
      <c r="CL8" s="32">
        <v>73.900000000000006</v>
      </c>
      <c r="CM8" s="32">
        <v>51.7</v>
      </c>
      <c r="CN8" s="32">
        <v>75.599999999999994</v>
      </c>
      <c r="CO8" s="32">
        <v>6.1</v>
      </c>
      <c r="CP8" s="32">
        <v>5.6</v>
      </c>
      <c r="CQ8" s="32">
        <v>5.3</v>
      </c>
      <c r="CR8" s="64">
        <v>47.5</v>
      </c>
      <c r="CS8" s="64">
        <v>44.2</v>
      </c>
      <c r="CT8" s="64">
        <v>42.9</v>
      </c>
      <c r="CU8" s="32" t="str">
        <f t="shared" si="0"/>
        <v>9830260R</v>
      </c>
      <c r="CV8" s="47">
        <v>7.7507598784194522</v>
      </c>
      <c r="CW8" s="47">
        <v>43.468715697036224</v>
      </c>
      <c r="CX8" s="47">
        <v>37.207235798159317</v>
      </c>
      <c r="DA8" s="68"/>
    </row>
    <row r="9" spans="1:105" x14ac:dyDescent="0.2">
      <c r="A9" s="30" t="s">
        <v>146</v>
      </c>
      <c r="B9" s="30" t="s">
        <v>58</v>
      </c>
      <c r="C9" s="30" t="s">
        <v>104</v>
      </c>
      <c r="D9" s="30" t="s">
        <v>116</v>
      </c>
      <c r="E9" s="30" t="s">
        <v>113</v>
      </c>
      <c r="F9" s="31">
        <v>103</v>
      </c>
      <c r="G9" s="31" t="s">
        <v>10</v>
      </c>
      <c r="H9" s="31" t="s">
        <v>10</v>
      </c>
      <c r="I9" s="31">
        <v>253</v>
      </c>
      <c r="J9" s="31" t="s">
        <v>10</v>
      </c>
      <c r="K9" s="31" t="s">
        <v>10</v>
      </c>
      <c r="L9" s="31">
        <v>238</v>
      </c>
      <c r="M9" s="33" t="s">
        <v>10</v>
      </c>
      <c r="N9" s="33" t="s">
        <v>10</v>
      </c>
      <c r="O9" s="31">
        <v>276</v>
      </c>
      <c r="P9" s="33" t="s">
        <v>10</v>
      </c>
      <c r="Q9" s="33" t="s">
        <v>10</v>
      </c>
      <c r="R9" s="47">
        <v>99</v>
      </c>
      <c r="S9" s="60">
        <v>136.80000000000001</v>
      </c>
      <c r="T9" s="60">
        <v>127</v>
      </c>
      <c r="U9" s="60">
        <v>47.5</v>
      </c>
      <c r="V9" s="60">
        <v>44.7</v>
      </c>
      <c r="W9" s="60">
        <v>45.8</v>
      </c>
      <c r="X9" s="60">
        <v>4.5999999999999996</v>
      </c>
      <c r="Y9" s="60">
        <v>16.3</v>
      </c>
      <c r="Z9" s="60">
        <v>16.399999999999999</v>
      </c>
      <c r="AA9" s="47">
        <v>89.3</v>
      </c>
      <c r="AB9" s="60">
        <v>97.3</v>
      </c>
      <c r="AC9" s="47">
        <v>96.6</v>
      </c>
      <c r="AD9" s="47">
        <v>5.9</v>
      </c>
      <c r="AE9" s="60">
        <v>13.8</v>
      </c>
      <c r="AF9" s="60">
        <v>10.7</v>
      </c>
      <c r="AG9" s="61">
        <v>31.900000000000006</v>
      </c>
      <c r="AH9" s="61">
        <v>49.9</v>
      </c>
      <c r="AI9" s="61">
        <v>47.6</v>
      </c>
      <c r="AJ9" s="61">
        <v>61.5</v>
      </c>
      <c r="AK9" s="61">
        <v>72.099999999999994</v>
      </c>
      <c r="AL9" s="61">
        <v>63.2</v>
      </c>
      <c r="AM9" s="62">
        <v>1.32</v>
      </c>
      <c r="AN9" s="62">
        <v>1.38</v>
      </c>
      <c r="AO9" s="62">
        <v>1.36</v>
      </c>
      <c r="AP9" s="47">
        <v>21.6</v>
      </c>
      <c r="AQ9" s="47">
        <v>21.2</v>
      </c>
      <c r="AR9" s="47">
        <v>22.1</v>
      </c>
      <c r="AS9" s="47">
        <v>52.3</v>
      </c>
      <c r="AT9" s="60">
        <v>46.4</v>
      </c>
      <c r="AU9" s="64">
        <v>53.8</v>
      </c>
      <c r="AV9" s="47">
        <v>32.299999999999997</v>
      </c>
      <c r="AW9" s="60">
        <v>34.4</v>
      </c>
      <c r="AX9" s="64">
        <v>30.7</v>
      </c>
      <c r="AY9" s="47">
        <v>9.1999999999999993</v>
      </c>
      <c r="AZ9" s="60">
        <v>12.8</v>
      </c>
      <c r="BA9" s="32">
        <v>9.3000000000000007</v>
      </c>
      <c r="BE9" s="47">
        <v>0</v>
      </c>
      <c r="BF9" s="60">
        <v>1.2</v>
      </c>
      <c r="BG9" s="32">
        <v>0.7</v>
      </c>
      <c r="BH9" s="32">
        <v>58.8</v>
      </c>
      <c r="BI9" s="32">
        <v>82.4</v>
      </c>
      <c r="BJ9" s="32">
        <v>87.4</v>
      </c>
      <c r="BK9" s="32">
        <v>88.2</v>
      </c>
      <c r="BL9" s="32">
        <v>86.8</v>
      </c>
      <c r="BM9" s="32">
        <v>85.4</v>
      </c>
      <c r="BN9" s="47">
        <v>66.7</v>
      </c>
      <c r="BO9" s="32">
        <v>78.5</v>
      </c>
      <c r="BP9" s="32">
        <v>77</v>
      </c>
      <c r="BQ9" s="32">
        <v>84.6</v>
      </c>
      <c r="BR9" s="32">
        <v>86.5</v>
      </c>
      <c r="BS9" s="32">
        <v>86.3</v>
      </c>
      <c r="BT9" s="47">
        <v>-5.6680161943319831</v>
      </c>
      <c r="BU9" s="32">
        <v>-4.5</v>
      </c>
      <c r="BV9" s="32">
        <v>-5.9</v>
      </c>
      <c r="BW9" s="32">
        <v>6.9</v>
      </c>
      <c r="BX9" s="32">
        <v>8.1</v>
      </c>
      <c r="BY9" s="32">
        <v>8.9</v>
      </c>
      <c r="BZ9" s="63">
        <v>14.9</v>
      </c>
      <c r="CA9" s="63">
        <v>16.100000000000001</v>
      </c>
      <c r="CB9" s="63">
        <v>15.5</v>
      </c>
      <c r="CC9" s="32">
        <v>13.9</v>
      </c>
      <c r="CD9" s="32">
        <v>14.4</v>
      </c>
      <c r="CE9" s="32">
        <v>14.7</v>
      </c>
      <c r="CF9" s="32"/>
      <c r="CG9" s="32"/>
      <c r="CH9" s="32"/>
      <c r="CI9" s="33"/>
      <c r="CJ9" s="33"/>
      <c r="CK9" s="33"/>
      <c r="CL9" s="32">
        <v>59.3</v>
      </c>
      <c r="CM9" s="32">
        <v>51.7</v>
      </c>
      <c r="CN9" s="32">
        <v>75.599999999999994</v>
      </c>
      <c r="CO9" s="32">
        <v>3.8</v>
      </c>
      <c r="CP9" s="32">
        <v>5.6</v>
      </c>
      <c r="CQ9" s="32">
        <v>5.3</v>
      </c>
      <c r="CR9" s="64">
        <v>45.8</v>
      </c>
      <c r="CS9" s="64">
        <v>44.2</v>
      </c>
      <c r="CT9" s="64">
        <v>42.9</v>
      </c>
      <c r="CU9" s="32" t="str">
        <f t="shared" si="0"/>
        <v>9830263U</v>
      </c>
      <c r="CV9" s="47">
        <v>28.15126050420168</v>
      </c>
      <c r="CW9" s="47">
        <v>43.468715697036224</v>
      </c>
      <c r="CX9" s="47">
        <v>37.207235798159317</v>
      </c>
      <c r="DA9" s="68"/>
    </row>
    <row r="10" spans="1:105" x14ac:dyDescent="0.2">
      <c r="A10" s="30" t="s">
        <v>147</v>
      </c>
      <c r="B10" s="30" t="s">
        <v>59</v>
      </c>
      <c r="C10" s="30" t="s">
        <v>104</v>
      </c>
      <c r="D10" s="30" t="s">
        <v>117</v>
      </c>
      <c r="E10" s="30" t="s">
        <v>113</v>
      </c>
      <c r="F10" s="31">
        <v>532</v>
      </c>
      <c r="G10" s="31">
        <v>70</v>
      </c>
      <c r="H10" s="31" t="s">
        <v>10</v>
      </c>
      <c r="I10" s="31">
        <v>426</v>
      </c>
      <c r="J10" s="31">
        <v>63</v>
      </c>
      <c r="K10" s="31" t="s">
        <v>10</v>
      </c>
      <c r="L10" s="31">
        <v>420</v>
      </c>
      <c r="M10" s="33">
        <v>60</v>
      </c>
      <c r="N10" s="33" t="s">
        <v>10</v>
      </c>
      <c r="O10" s="31">
        <v>413</v>
      </c>
      <c r="P10" s="33">
        <v>61</v>
      </c>
      <c r="Q10" s="33" t="s">
        <v>10</v>
      </c>
      <c r="R10" s="47">
        <v>101.2</v>
      </c>
      <c r="S10" s="60">
        <v>136.80000000000001</v>
      </c>
      <c r="T10" s="60">
        <v>127</v>
      </c>
      <c r="U10" s="60">
        <v>49.1</v>
      </c>
      <c r="V10" s="60">
        <v>44.7</v>
      </c>
      <c r="W10" s="60">
        <v>45.8</v>
      </c>
      <c r="X10" s="60">
        <v>11.5</v>
      </c>
      <c r="Y10" s="60">
        <v>16.3</v>
      </c>
      <c r="Z10" s="60">
        <v>16.399999999999999</v>
      </c>
      <c r="AA10" s="47">
        <v>96.7</v>
      </c>
      <c r="AB10" s="60">
        <v>97.3</v>
      </c>
      <c r="AC10" s="47">
        <v>96.6</v>
      </c>
      <c r="AD10" s="47">
        <v>10.9</v>
      </c>
      <c r="AE10" s="60">
        <v>13.8</v>
      </c>
      <c r="AF10" s="60">
        <v>10.7</v>
      </c>
      <c r="AG10" s="61">
        <v>38.200000000000003</v>
      </c>
      <c r="AH10" s="61">
        <v>49.9</v>
      </c>
      <c r="AI10" s="61">
        <v>47.6</v>
      </c>
      <c r="AJ10" s="61">
        <v>69.900000000000006</v>
      </c>
      <c r="AK10" s="61">
        <v>72.099999999999994</v>
      </c>
      <c r="AL10" s="61">
        <v>63.2</v>
      </c>
      <c r="AM10" s="62">
        <v>1.26</v>
      </c>
      <c r="AN10" s="62">
        <v>1.38</v>
      </c>
      <c r="AO10" s="62">
        <v>1.36</v>
      </c>
      <c r="AP10" s="47">
        <v>23.5</v>
      </c>
      <c r="AQ10" s="47">
        <v>21.2</v>
      </c>
      <c r="AR10" s="47">
        <v>22.1</v>
      </c>
      <c r="AS10" s="47">
        <v>47.4</v>
      </c>
      <c r="AT10" s="60">
        <v>46.4</v>
      </c>
      <c r="AU10" s="64">
        <v>53.8</v>
      </c>
      <c r="AV10" s="47">
        <v>43.2</v>
      </c>
      <c r="AW10" s="60">
        <v>34.4</v>
      </c>
      <c r="AX10" s="64">
        <v>30.7</v>
      </c>
      <c r="AY10" s="47">
        <v>7.4</v>
      </c>
      <c r="AZ10" s="60">
        <v>12.8</v>
      </c>
      <c r="BA10" s="32">
        <v>9.3000000000000007</v>
      </c>
      <c r="BE10" s="47">
        <v>0</v>
      </c>
      <c r="BF10" s="60">
        <v>1.2</v>
      </c>
      <c r="BG10" s="32">
        <v>0.7</v>
      </c>
      <c r="BH10" s="32">
        <v>90.5</v>
      </c>
      <c r="BI10" s="32">
        <v>82.4</v>
      </c>
      <c r="BJ10" s="32">
        <v>87.4</v>
      </c>
      <c r="BK10" s="32">
        <v>92.3</v>
      </c>
      <c r="BL10" s="32">
        <v>86.8</v>
      </c>
      <c r="BM10" s="32">
        <v>85.4</v>
      </c>
      <c r="BN10" s="47">
        <v>66.7</v>
      </c>
      <c r="BO10" s="32">
        <v>78.5</v>
      </c>
      <c r="BP10" s="32">
        <v>77</v>
      </c>
      <c r="BQ10" s="32">
        <v>92.5</v>
      </c>
      <c r="BR10" s="32">
        <v>86.5</v>
      </c>
      <c r="BS10" s="32">
        <v>86.3</v>
      </c>
      <c r="BT10" s="47">
        <v>0.72898799313892937</v>
      </c>
      <c r="BU10" s="32">
        <v>-4.5</v>
      </c>
      <c r="BV10" s="32">
        <v>-5.9</v>
      </c>
      <c r="BW10" s="32">
        <v>8.6</v>
      </c>
      <c r="BX10" s="32">
        <v>8.1</v>
      </c>
      <c r="BY10" s="32">
        <v>8.9</v>
      </c>
      <c r="BZ10" s="63">
        <v>16.3</v>
      </c>
      <c r="CA10" s="63">
        <v>16.100000000000001</v>
      </c>
      <c r="CB10" s="63">
        <v>15.5</v>
      </c>
      <c r="CC10" s="32">
        <v>13.5</v>
      </c>
      <c r="CD10" s="32">
        <v>14.4</v>
      </c>
      <c r="CE10" s="32">
        <v>14.7</v>
      </c>
      <c r="CF10" s="32"/>
      <c r="CG10" s="32"/>
      <c r="CH10" s="32"/>
      <c r="CI10" s="33"/>
      <c r="CJ10" s="33"/>
      <c r="CK10" s="33"/>
      <c r="CL10" s="32">
        <v>57.5</v>
      </c>
      <c r="CM10" s="32">
        <v>51.7</v>
      </c>
      <c r="CN10" s="32">
        <v>75.599999999999994</v>
      </c>
      <c r="CO10" s="32">
        <v>5.9</v>
      </c>
      <c r="CP10" s="32">
        <v>5.6</v>
      </c>
      <c r="CQ10" s="32">
        <v>5.3</v>
      </c>
      <c r="CR10" s="64">
        <v>47.1</v>
      </c>
      <c r="CS10" s="64">
        <v>44.2</v>
      </c>
      <c r="CT10" s="64">
        <v>42.9</v>
      </c>
      <c r="CU10" s="32" t="str">
        <f t="shared" si="0"/>
        <v>9830264V</v>
      </c>
      <c r="CV10" s="47">
        <v>23.333333333333332</v>
      </c>
      <c r="CW10" s="47">
        <v>43.468715697036224</v>
      </c>
      <c r="CX10" s="47">
        <v>37.207235798159317</v>
      </c>
      <c r="DA10" s="68"/>
    </row>
    <row r="11" spans="1:105" x14ac:dyDescent="0.2">
      <c r="A11" s="30" t="s">
        <v>148</v>
      </c>
      <c r="B11" s="30" t="s">
        <v>60</v>
      </c>
      <c r="C11" s="30" t="s">
        <v>104</v>
      </c>
      <c r="D11" s="30" t="s">
        <v>118</v>
      </c>
      <c r="E11" s="30" t="s">
        <v>113</v>
      </c>
      <c r="F11" s="31">
        <v>297</v>
      </c>
      <c r="G11" s="31" t="s">
        <v>10</v>
      </c>
      <c r="H11" s="31" t="s">
        <v>10</v>
      </c>
      <c r="I11" s="31">
        <v>153</v>
      </c>
      <c r="J11" s="31" t="s">
        <v>10</v>
      </c>
      <c r="K11" s="31" t="s">
        <v>10</v>
      </c>
      <c r="L11" s="31">
        <v>132</v>
      </c>
      <c r="M11" s="33" t="s">
        <v>10</v>
      </c>
      <c r="N11" s="33" t="s">
        <v>10</v>
      </c>
      <c r="O11" s="31">
        <v>134</v>
      </c>
      <c r="P11" s="33" t="s">
        <v>10</v>
      </c>
      <c r="Q11" s="33" t="s">
        <v>10</v>
      </c>
      <c r="R11" s="47">
        <v>114.3</v>
      </c>
      <c r="S11" s="60">
        <v>136.80000000000001</v>
      </c>
      <c r="T11" s="60">
        <v>127</v>
      </c>
      <c r="U11" s="60">
        <v>47.7</v>
      </c>
      <c r="V11" s="60">
        <v>44.7</v>
      </c>
      <c r="W11" s="60">
        <v>45.8</v>
      </c>
      <c r="X11" s="60">
        <v>22.3</v>
      </c>
      <c r="Y11" s="60">
        <v>16.3</v>
      </c>
      <c r="Z11" s="60">
        <v>16.399999999999999</v>
      </c>
      <c r="AA11" s="47">
        <v>99.5</v>
      </c>
      <c r="AB11" s="60">
        <v>97.3</v>
      </c>
      <c r="AC11" s="47">
        <v>96.6</v>
      </c>
      <c r="AD11" s="47">
        <v>44.8</v>
      </c>
      <c r="AE11" s="60">
        <v>13.8</v>
      </c>
      <c r="AF11" s="60">
        <v>10.7</v>
      </c>
      <c r="AG11" s="61">
        <v>34.5</v>
      </c>
      <c r="AH11" s="61">
        <v>49.9</v>
      </c>
      <c r="AI11" s="61">
        <v>47.6</v>
      </c>
      <c r="AJ11" s="61">
        <v>73.3</v>
      </c>
      <c r="AK11" s="61">
        <v>72.099999999999994</v>
      </c>
      <c r="AL11" s="61">
        <v>63.2</v>
      </c>
      <c r="AM11" s="62">
        <v>1.79</v>
      </c>
      <c r="AN11" s="62">
        <v>1.38</v>
      </c>
      <c r="AO11" s="62">
        <v>1.36</v>
      </c>
      <c r="AP11" s="47">
        <v>16.5</v>
      </c>
      <c r="AQ11" s="47">
        <v>21.2</v>
      </c>
      <c r="AR11" s="47">
        <v>22.1</v>
      </c>
      <c r="AS11" s="47">
        <v>34.1</v>
      </c>
      <c r="AT11" s="60">
        <v>46.4</v>
      </c>
      <c r="AU11" s="64">
        <v>53.8</v>
      </c>
      <c r="AV11" s="47">
        <v>40.9</v>
      </c>
      <c r="AW11" s="60">
        <v>34.4</v>
      </c>
      <c r="AX11" s="64">
        <v>30.7</v>
      </c>
      <c r="AY11" s="47">
        <v>15.9</v>
      </c>
      <c r="AZ11" s="60">
        <v>12.8</v>
      </c>
      <c r="BA11" s="32">
        <v>9.3000000000000007</v>
      </c>
      <c r="BE11" s="47">
        <v>0</v>
      </c>
      <c r="BF11" s="60">
        <v>1.2</v>
      </c>
      <c r="BG11" s="32">
        <v>0.7</v>
      </c>
      <c r="BH11" s="32">
        <v>70</v>
      </c>
      <c r="BI11" s="32">
        <v>82.4</v>
      </c>
      <c r="BJ11" s="32">
        <v>87.4</v>
      </c>
      <c r="BK11" s="32">
        <v>88.9</v>
      </c>
      <c r="BL11" s="32">
        <v>86.8</v>
      </c>
      <c r="BM11" s="32">
        <v>85.4</v>
      </c>
      <c r="BN11" s="47">
        <v>83.3</v>
      </c>
      <c r="BO11" s="32">
        <v>78.5</v>
      </c>
      <c r="BP11" s="32">
        <v>77</v>
      </c>
      <c r="BQ11" s="32">
        <v>88.1</v>
      </c>
      <c r="BR11" s="32">
        <v>86.5</v>
      </c>
      <c r="BS11" s="32">
        <v>86.3</v>
      </c>
      <c r="BT11" s="47">
        <v>2.3809523809523938</v>
      </c>
      <c r="BU11" s="32">
        <v>-4.5</v>
      </c>
      <c r="BV11" s="32">
        <v>-5.9</v>
      </c>
      <c r="BW11" s="32">
        <v>8.1999999999999993</v>
      </c>
      <c r="BX11" s="32">
        <v>8.1</v>
      </c>
      <c r="BY11" s="32">
        <v>8.9</v>
      </c>
      <c r="BZ11" s="63">
        <v>16.8</v>
      </c>
      <c r="CA11" s="63">
        <v>16.100000000000001</v>
      </c>
      <c r="CB11" s="63">
        <v>15.5</v>
      </c>
      <c r="CC11" s="32">
        <v>14.4</v>
      </c>
      <c r="CD11" s="32">
        <v>14.4</v>
      </c>
      <c r="CE11" s="32">
        <v>14.7</v>
      </c>
      <c r="CF11" s="32"/>
      <c r="CG11" s="32"/>
      <c r="CH11" s="32"/>
      <c r="CI11" s="33"/>
      <c r="CJ11" s="33"/>
      <c r="CK11" s="33"/>
      <c r="CL11" s="32">
        <v>71.599999999999994</v>
      </c>
      <c r="CM11" s="32">
        <v>51.7</v>
      </c>
      <c r="CN11" s="32">
        <v>75.599999999999994</v>
      </c>
      <c r="CO11" s="32">
        <v>8.4</v>
      </c>
      <c r="CP11" s="32">
        <v>5.6</v>
      </c>
      <c r="CQ11" s="32">
        <v>5.3</v>
      </c>
      <c r="CR11" s="64">
        <v>46.8</v>
      </c>
      <c r="CS11" s="64">
        <v>44.2</v>
      </c>
      <c r="CT11" s="64">
        <v>42.9</v>
      </c>
      <c r="CU11" s="32" t="str">
        <f t="shared" si="0"/>
        <v>9830265W</v>
      </c>
      <c r="CV11" s="47">
        <v>34.848484848484851</v>
      </c>
      <c r="CW11" s="47">
        <v>43.468715697036224</v>
      </c>
      <c r="CX11" s="47">
        <v>37.207235798159317</v>
      </c>
      <c r="DA11" s="68"/>
    </row>
    <row r="12" spans="1:105" x14ac:dyDescent="0.2">
      <c r="A12" s="30" t="s">
        <v>149</v>
      </c>
      <c r="B12" s="30" t="s">
        <v>61</v>
      </c>
      <c r="C12" s="30" t="s">
        <v>104</v>
      </c>
      <c r="D12" s="30" t="s">
        <v>119</v>
      </c>
      <c r="E12" s="30" t="s">
        <v>113</v>
      </c>
      <c r="F12" s="31">
        <v>147</v>
      </c>
      <c r="G12" s="31">
        <v>13</v>
      </c>
      <c r="H12" s="31" t="s">
        <v>10</v>
      </c>
      <c r="I12" s="31">
        <v>89</v>
      </c>
      <c r="J12" s="31" t="s">
        <v>10</v>
      </c>
      <c r="K12" s="31" t="s">
        <v>10</v>
      </c>
      <c r="L12" s="31">
        <v>90</v>
      </c>
      <c r="M12" s="33" t="s">
        <v>10</v>
      </c>
      <c r="N12" s="33" t="s">
        <v>10</v>
      </c>
      <c r="O12" s="31">
        <v>83</v>
      </c>
      <c r="P12" s="33" t="s">
        <v>10</v>
      </c>
      <c r="Q12" s="33" t="s">
        <v>10</v>
      </c>
      <c r="R12" s="47">
        <v>151.69999999999999</v>
      </c>
      <c r="S12" s="60">
        <v>136.80000000000001</v>
      </c>
      <c r="T12" s="60">
        <v>127</v>
      </c>
      <c r="U12" s="60">
        <v>67.099999999999994</v>
      </c>
      <c r="V12" s="60">
        <v>44.7</v>
      </c>
      <c r="W12" s="60">
        <v>45.8</v>
      </c>
      <c r="X12" s="60">
        <v>4.3</v>
      </c>
      <c r="Y12" s="60">
        <v>16.3</v>
      </c>
      <c r="Z12" s="60">
        <v>16.399999999999999</v>
      </c>
      <c r="AA12" s="47">
        <v>83.4</v>
      </c>
      <c r="AB12" s="60">
        <v>97.3</v>
      </c>
      <c r="AC12" s="47">
        <v>96.6</v>
      </c>
      <c r="AD12" s="47">
        <v>31.8</v>
      </c>
      <c r="AE12" s="60">
        <v>13.8</v>
      </c>
      <c r="AF12" s="60">
        <v>10.7</v>
      </c>
      <c r="AG12" s="61">
        <v>81.8</v>
      </c>
      <c r="AH12" s="61">
        <v>49.9</v>
      </c>
      <c r="AI12" s="61">
        <v>47.6</v>
      </c>
      <c r="AJ12" s="61">
        <v>100</v>
      </c>
      <c r="AK12" s="61">
        <v>72.099999999999994</v>
      </c>
      <c r="AL12" s="61">
        <v>63.2</v>
      </c>
      <c r="AM12" s="62">
        <v>1.3</v>
      </c>
      <c r="AN12" s="62">
        <v>1.38</v>
      </c>
      <c r="AO12" s="62">
        <v>1.36</v>
      </c>
      <c r="AP12" s="47">
        <v>22.5</v>
      </c>
      <c r="AQ12" s="47">
        <v>21.2</v>
      </c>
      <c r="AR12" s="47">
        <v>22.1</v>
      </c>
      <c r="AS12" s="47">
        <v>42.1</v>
      </c>
      <c r="AT12" s="60">
        <v>46.4</v>
      </c>
      <c r="AU12" s="64">
        <v>53.8</v>
      </c>
      <c r="AV12" s="47">
        <v>31.6</v>
      </c>
      <c r="AW12" s="60">
        <v>34.4</v>
      </c>
      <c r="AX12" s="64">
        <v>30.7</v>
      </c>
      <c r="AY12" s="47">
        <v>5.3</v>
      </c>
      <c r="AZ12" s="60">
        <v>12.8</v>
      </c>
      <c r="BA12" s="32">
        <v>9.3000000000000007</v>
      </c>
      <c r="BE12" s="47">
        <v>5.3</v>
      </c>
      <c r="BF12" s="60">
        <v>1.2</v>
      </c>
      <c r="BG12" s="32">
        <v>0.7</v>
      </c>
      <c r="BH12" s="32">
        <v>85.7</v>
      </c>
      <c r="BI12" s="32">
        <v>82.4</v>
      </c>
      <c r="BJ12" s="32">
        <v>87.4</v>
      </c>
      <c r="BK12" s="32">
        <v>70</v>
      </c>
      <c r="BL12" s="32">
        <v>86.8</v>
      </c>
      <c r="BM12" s="32">
        <v>85.4</v>
      </c>
      <c r="BN12" s="47">
        <v>60</v>
      </c>
      <c r="BO12" s="32">
        <v>78.5</v>
      </c>
      <c r="BP12" s="32">
        <v>77</v>
      </c>
      <c r="BQ12" s="32">
        <v>75</v>
      </c>
      <c r="BR12" s="32">
        <v>86.5</v>
      </c>
      <c r="BS12" s="32">
        <v>86.3</v>
      </c>
      <c r="BT12" s="47">
        <v>6.25</v>
      </c>
      <c r="BU12" s="32">
        <v>-4.5</v>
      </c>
      <c r="BV12" s="32">
        <v>-5.9</v>
      </c>
      <c r="BW12" s="32">
        <v>5.3</v>
      </c>
      <c r="BX12" s="32">
        <v>8.1</v>
      </c>
      <c r="BY12" s="32">
        <v>8.9</v>
      </c>
      <c r="BZ12" s="63">
        <v>16.899999999999999</v>
      </c>
      <c r="CA12" s="63">
        <v>16.100000000000001</v>
      </c>
      <c r="CB12" s="63">
        <v>15.5</v>
      </c>
      <c r="CC12" s="32">
        <v>13.9</v>
      </c>
      <c r="CD12" s="32">
        <v>14.4</v>
      </c>
      <c r="CE12" s="32">
        <v>14.7</v>
      </c>
      <c r="CF12" s="32"/>
      <c r="CG12" s="32"/>
      <c r="CH12" s="32"/>
      <c r="CI12" s="33"/>
      <c r="CJ12" s="33"/>
      <c r="CK12" s="33"/>
      <c r="CL12" s="32">
        <v>27.6</v>
      </c>
      <c r="CM12" s="32">
        <v>51.7</v>
      </c>
      <c r="CN12" s="32">
        <v>75.599999999999994</v>
      </c>
      <c r="CO12" s="32">
        <v>7.8</v>
      </c>
      <c r="CP12" s="32">
        <v>5.6</v>
      </c>
      <c r="CQ12" s="32">
        <v>5.3</v>
      </c>
      <c r="CR12" s="64">
        <v>46.8</v>
      </c>
      <c r="CS12" s="64">
        <v>44.2</v>
      </c>
      <c r="CT12" s="64">
        <v>42.9</v>
      </c>
      <c r="CU12" s="32" t="str">
        <f t="shared" si="0"/>
        <v>9830266X</v>
      </c>
      <c r="CV12" s="47">
        <v>87.777777777777771</v>
      </c>
      <c r="CW12" s="47">
        <v>43.468715697036224</v>
      </c>
      <c r="CX12" s="47">
        <v>37.207235798159317</v>
      </c>
      <c r="DA12" s="68"/>
    </row>
    <row r="13" spans="1:105" x14ac:dyDescent="0.2">
      <c r="A13" s="30" t="s">
        <v>150</v>
      </c>
      <c r="B13" s="30" t="s">
        <v>62</v>
      </c>
      <c r="C13" s="30" t="s">
        <v>27</v>
      </c>
      <c r="D13" s="30" t="s">
        <v>43</v>
      </c>
      <c r="E13" s="30" t="s">
        <v>112</v>
      </c>
      <c r="F13" s="31">
        <v>853</v>
      </c>
      <c r="G13" s="31" t="s">
        <v>10</v>
      </c>
      <c r="H13" s="31" t="s">
        <v>10</v>
      </c>
      <c r="I13" s="31">
        <v>794</v>
      </c>
      <c r="J13" s="31" t="s">
        <v>10</v>
      </c>
      <c r="K13" s="31" t="s">
        <v>10</v>
      </c>
      <c r="L13" s="31">
        <v>811</v>
      </c>
      <c r="M13" s="33" t="s">
        <v>10</v>
      </c>
      <c r="N13" s="33" t="s">
        <v>10</v>
      </c>
      <c r="O13" s="31">
        <v>763</v>
      </c>
      <c r="P13" s="33" t="s">
        <v>10</v>
      </c>
      <c r="Q13" s="33" t="s">
        <v>10</v>
      </c>
      <c r="R13" s="47">
        <v>98</v>
      </c>
      <c r="S13" s="60">
        <v>121</v>
      </c>
      <c r="T13" s="60">
        <v>127</v>
      </c>
      <c r="U13" s="60">
        <v>9.4</v>
      </c>
      <c r="V13" s="60">
        <v>46.1</v>
      </c>
      <c r="W13" s="60">
        <v>45.8</v>
      </c>
      <c r="X13" s="60">
        <v>53.6</v>
      </c>
      <c r="Y13" s="60">
        <v>16.399999999999999</v>
      </c>
      <c r="Z13" s="60">
        <v>16.399999999999999</v>
      </c>
      <c r="AA13" s="47">
        <v>132.9</v>
      </c>
      <c r="AB13" s="60">
        <v>96.4</v>
      </c>
      <c r="AC13" s="47">
        <v>96.6</v>
      </c>
      <c r="AD13" s="47">
        <v>7.6</v>
      </c>
      <c r="AE13" s="60">
        <v>9.8000000000000007</v>
      </c>
      <c r="AF13" s="60">
        <v>10.7</v>
      </c>
      <c r="AG13" s="61">
        <v>9.0999999999999943</v>
      </c>
      <c r="AH13" s="61">
        <v>46.9</v>
      </c>
      <c r="AI13" s="61">
        <v>47.6</v>
      </c>
      <c r="AJ13" s="61">
        <v>13.599999999999994</v>
      </c>
      <c r="AK13" s="61">
        <v>60.6</v>
      </c>
      <c r="AL13" s="61">
        <v>63.2</v>
      </c>
      <c r="AM13" s="62">
        <v>1.1100000000000001</v>
      </c>
      <c r="AN13" s="62">
        <v>1.36</v>
      </c>
      <c r="AO13" s="62">
        <v>1.36</v>
      </c>
      <c r="AP13" s="47">
        <v>28</v>
      </c>
      <c r="AQ13" s="47">
        <v>22.4</v>
      </c>
      <c r="AR13" s="47">
        <v>22.1</v>
      </c>
      <c r="AS13" s="47">
        <v>89.2</v>
      </c>
      <c r="AT13" s="60">
        <v>56</v>
      </c>
      <c r="AU13" s="64">
        <v>53.8</v>
      </c>
      <c r="AV13" s="47">
        <v>4.5999999999999996</v>
      </c>
      <c r="AW13" s="60">
        <v>29.5</v>
      </c>
      <c r="AX13" s="64">
        <v>30.7</v>
      </c>
      <c r="AY13" s="47">
        <v>0</v>
      </c>
      <c r="AZ13" s="60">
        <v>8.1999999999999993</v>
      </c>
      <c r="BA13" s="32">
        <v>9.3000000000000007</v>
      </c>
      <c r="BE13" s="47">
        <v>2.1</v>
      </c>
      <c r="BF13" s="60">
        <v>0.5</v>
      </c>
      <c r="BG13" s="32">
        <v>0.7</v>
      </c>
      <c r="BH13" s="32">
        <v>91</v>
      </c>
      <c r="BI13" s="32">
        <v>88.6</v>
      </c>
      <c r="BJ13" s="32">
        <v>87.4</v>
      </c>
      <c r="BK13" s="32">
        <v>83.3</v>
      </c>
      <c r="BL13" s="32">
        <v>84.9</v>
      </c>
      <c r="BM13" s="32">
        <v>85.4</v>
      </c>
      <c r="BN13" s="47">
        <v>66.7</v>
      </c>
      <c r="BO13" s="32">
        <v>76.2</v>
      </c>
      <c r="BP13" s="32">
        <v>77</v>
      </c>
      <c r="BQ13" s="32">
        <v>90.4</v>
      </c>
      <c r="BR13" s="32">
        <v>86.3</v>
      </c>
      <c r="BS13" s="32">
        <v>86.3</v>
      </c>
      <c r="BT13" s="47">
        <v>-10.393013100436676</v>
      </c>
      <c r="BU13" s="32">
        <v>-6.3</v>
      </c>
      <c r="BV13" s="32">
        <v>-5.9</v>
      </c>
      <c r="BW13" s="32">
        <v>12.3</v>
      </c>
      <c r="BX13" s="32">
        <v>9.1</v>
      </c>
      <c r="BY13" s="32">
        <v>8.9</v>
      </c>
      <c r="BZ13" s="63">
        <v>15.9</v>
      </c>
      <c r="CA13" s="63">
        <v>15.946999999999999</v>
      </c>
      <c r="CB13" s="63">
        <v>15.5</v>
      </c>
      <c r="CC13" s="32">
        <v>16.100000000000001</v>
      </c>
      <c r="CD13" s="32">
        <v>14.8</v>
      </c>
      <c r="CE13" s="32">
        <v>14.7</v>
      </c>
      <c r="CF13" s="32"/>
      <c r="CG13" s="32"/>
      <c r="CH13" s="32"/>
      <c r="CI13" s="32"/>
      <c r="CK13" s="33"/>
      <c r="CL13" s="32">
        <v>95.5</v>
      </c>
      <c r="CM13" s="32">
        <v>82.6</v>
      </c>
      <c r="CN13" s="32">
        <v>75.599999999999994</v>
      </c>
      <c r="CO13" s="32">
        <v>9.6</v>
      </c>
      <c r="CP13" s="32">
        <v>5.2</v>
      </c>
      <c r="CQ13" s="32">
        <v>5.3</v>
      </c>
      <c r="CR13" s="64">
        <v>46.2</v>
      </c>
      <c r="CS13" s="64">
        <v>42.5</v>
      </c>
      <c r="CT13" s="64">
        <v>42.9</v>
      </c>
      <c r="CU13" s="32" t="str">
        <f t="shared" si="0"/>
        <v>9830277J</v>
      </c>
      <c r="CV13" s="47">
        <v>4.1923551171393338</v>
      </c>
      <c r="CW13" s="47">
        <v>35.323259846420605</v>
      </c>
      <c r="CX13" s="47">
        <v>37.207235798159317</v>
      </c>
      <c r="DA13" s="68"/>
    </row>
    <row r="14" spans="1:105" x14ac:dyDescent="0.2">
      <c r="A14" s="30" t="s">
        <v>151</v>
      </c>
      <c r="B14" s="30" t="s">
        <v>63</v>
      </c>
      <c r="C14" s="30" t="s">
        <v>27</v>
      </c>
      <c r="D14" s="30" t="s">
        <v>122</v>
      </c>
      <c r="E14" s="30" t="s">
        <v>112</v>
      </c>
      <c r="F14" s="31">
        <v>637</v>
      </c>
      <c r="G14" s="31">
        <v>41</v>
      </c>
      <c r="H14" s="31">
        <v>45</v>
      </c>
      <c r="I14" s="31">
        <v>413</v>
      </c>
      <c r="J14" s="31">
        <v>69</v>
      </c>
      <c r="K14" s="31" t="s">
        <v>10</v>
      </c>
      <c r="L14" s="31">
        <v>427</v>
      </c>
      <c r="M14" s="33">
        <v>78</v>
      </c>
      <c r="N14" s="33" t="s">
        <v>10</v>
      </c>
      <c r="O14" s="31">
        <v>448</v>
      </c>
      <c r="P14" s="33">
        <v>67</v>
      </c>
      <c r="Q14" s="33" t="s">
        <v>10</v>
      </c>
      <c r="R14" s="47">
        <v>120</v>
      </c>
      <c r="S14" s="60">
        <v>121</v>
      </c>
      <c r="T14" s="60">
        <v>127</v>
      </c>
      <c r="U14" s="60">
        <v>50.4</v>
      </c>
      <c r="V14" s="60">
        <v>46.1</v>
      </c>
      <c r="W14" s="60">
        <v>45.8</v>
      </c>
      <c r="X14" s="60">
        <v>10.199999999999999</v>
      </c>
      <c r="Y14" s="60">
        <v>16.399999999999999</v>
      </c>
      <c r="Z14" s="60">
        <v>16.399999999999999</v>
      </c>
      <c r="AA14" s="47">
        <v>91.3</v>
      </c>
      <c r="AB14" s="60">
        <v>96.4</v>
      </c>
      <c r="AC14" s="47">
        <v>96.6</v>
      </c>
      <c r="AD14" s="47">
        <v>5.5</v>
      </c>
      <c r="AE14" s="60">
        <v>9.8000000000000007</v>
      </c>
      <c r="AF14" s="60">
        <v>10.7</v>
      </c>
      <c r="AG14" s="61">
        <v>62</v>
      </c>
      <c r="AH14" s="61">
        <v>46.9</v>
      </c>
      <c r="AI14" s="61">
        <v>47.6</v>
      </c>
      <c r="AJ14" s="61">
        <v>78.8</v>
      </c>
      <c r="AK14" s="61">
        <v>60.6</v>
      </c>
      <c r="AL14" s="61">
        <v>63.2</v>
      </c>
      <c r="AM14" s="62">
        <v>1.22</v>
      </c>
      <c r="AN14" s="62">
        <v>1.36</v>
      </c>
      <c r="AO14" s="62">
        <v>1.36</v>
      </c>
      <c r="AP14" s="47">
        <v>20.7</v>
      </c>
      <c r="AQ14" s="47">
        <v>22.4</v>
      </c>
      <c r="AR14" s="47">
        <v>22.1</v>
      </c>
      <c r="AS14" s="47">
        <v>40.4</v>
      </c>
      <c r="AT14" s="60">
        <v>56</v>
      </c>
      <c r="AU14" s="64">
        <v>53.8</v>
      </c>
      <c r="AV14" s="47">
        <v>24</v>
      </c>
      <c r="AW14" s="60">
        <v>29.5</v>
      </c>
      <c r="AX14" s="64">
        <v>30.7</v>
      </c>
      <c r="AY14" s="47">
        <v>20.2</v>
      </c>
      <c r="AZ14" s="60">
        <v>8.1999999999999993</v>
      </c>
      <c r="BA14" s="32">
        <v>9.3000000000000007</v>
      </c>
      <c r="BE14" s="47">
        <v>1</v>
      </c>
      <c r="BF14" s="60">
        <v>0.5</v>
      </c>
      <c r="BG14" s="32">
        <v>0.7</v>
      </c>
      <c r="BH14" s="32">
        <v>71.900000000000006</v>
      </c>
      <c r="BI14" s="32">
        <v>88.6</v>
      </c>
      <c r="BJ14" s="32">
        <v>87.4</v>
      </c>
      <c r="BK14" s="32">
        <v>88.9</v>
      </c>
      <c r="BL14" s="32">
        <v>84.9</v>
      </c>
      <c r="BM14" s="32">
        <v>85.4</v>
      </c>
      <c r="BN14" s="47">
        <v>77.8</v>
      </c>
      <c r="BO14" s="32">
        <v>76.2</v>
      </c>
      <c r="BP14" s="32">
        <v>77</v>
      </c>
      <c r="BQ14" s="32">
        <v>79.2</v>
      </c>
      <c r="BR14" s="32">
        <v>86.3</v>
      </c>
      <c r="BS14" s="32">
        <v>86.3</v>
      </c>
      <c r="BT14" s="47">
        <v>-10.119047619047606</v>
      </c>
      <c r="BU14" s="32">
        <v>-6.3</v>
      </c>
      <c r="BV14" s="32">
        <v>-5.9</v>
      </c>
      <c r="BW14" s="32">
        <v>8.5</v>
      </c>
      <c r="BX14" s="32">
        <v>9.1</v>
      </c>
      <c r="BY14" s="32">
        <v>8.9</v>
      </c>
      <c r="BZ14" s="63">
        <v>13.6</v>
      </c>
      <c r="CA14" s="63">
        <v>15.946999999999999</v>
      </c>
      <c r="CB14" s="63">
        <v>15.5</v>
      </c>
      <c r="CC14" s="32">
        <v>14.5</v>
      </c>
      <c r="CD14" s="32">
        <v>14.8</v>
      </c>
      <c r="CE14" s="32">
        <v>14.7</v>
      </c>
      <c r="CF14" s="32"/>
      <c r="CG14" s="32"/>
      <c r="CH14" s="32"/>
      <c r="CI14" s="32"/>
      <c r="CK14" s="33"/>
      <c r="CL14" s="32">
        <v>76.3</v>
      </c>
      <c r="CM14" s="32">
        <v>82.6</v>
      </c>
      <c r="CN14" s="32">
        <v>75.599999999999994</v>
      </c>
      <c r="CO14" s="32">
        <v>5.2</v>
      </c>
      <c r="CP14" s="32">
        <v>5.2</v>
      </c>
      <c r="CQ14" s="32">
        <v>5.3</v>
      </c>
      <c r="CR14" s="64">
        <v>40</v>
      </c>
      <c r="CS14" s="64">
        <v>42.5</v>
      </c>
      <c r="CT14" s="64">
        <v>42.9</v>
      </c>
      <c r="CU14" s="32" t="str">
        <f t="shared" si="0"/>
        <v>9830278K</v>
      </c>
      <c r="CV14" s="47">
        <v>46.13583138173302</v>
      </c>
      <c r="CW14" s="47">
        <v>35.323259846420605</v>
      </c>
      <c r="CX14" s="47">
        <v>37.207235798159317</v>
      </c>
      <c r="DA14" s="68"/>
    </row>
    <row r="15" spans="1:105" x14ac:dyDescent="0.2">
      <c r="A15" s="30" t="s">
        <v>152</v>
      </c>
      <c r="B15" s="30" t="s">
        <v>64</v>
      </c>
      <c r="C15" s="30" t="s">
        <v>104</v>
      </c>
      <c r="D15" s="30" t="s">
        <v>127</v>
      </c>
      <c r="E15" s="30" t="s">
        <v>113</v>
      </c>
      <c r="F15" s="31">
        <v>397</v>
      </c>
      <c r="G15" s="31" t="s">
        <v>10</v>
      </c>
      <c r="H15" s="31" t="s">
        <v>10</v>
      </c>
      <c r="I15" s="31">
        <v>298</v>
      </c>
      <c r="J15" s="31" t="s">
        <v>10</v>
      </c>
      <c r="K15" s="31" t="s">
        <v>10</v>
      </c>
      <c r="L15" s="31">
        <v>317</v>
      </c>
      <c r="M15" s="33" t="s">
        <v>10</v>
      </c>
      <c r="N15" s="33" t="s">
        <v>10</v>
      </c>
      <c r="O15" s="31">
        <v>308</v>
      </c>
      <c r="P15" s="33" t="s">
        <v>10</v>
      </c>
      <c r="Q15" s="33" t="s">
        <v>10</v>
      </c>
      <c r="R15" s="47">
        <v>123.3</v>
      </c>
      <c r="S15" s="60">
        <v>136.80000000000001</v>
      </c>
      <c r="T15" s="60">
        <v>127</v>
      </c>
      <c r="U15" s="60">
        <v>36</v>
      </c>
      <c r="V15" s="60">
        <v>44.7</v>
      </c>
      <c r="W15" s="60">
        <v>45.8</v>
      </c>
      <c r="X15" s="60">
        <v>12.3</v>
      </c>
      <c r="Y15" s="60">
        <v>16.3</v>
      </c>
      <c r="Z15" s="60">
        <v>16.399999999999999</v>
      </c>
      <c r="AA15" s="47">
        <v>95.9</v>
      </c>
      <c r="AB15" s="60">
        <v>97.3</v>
      </c>
      <c r="AC15" s="47">
        <v>96.6</v>
      </c>
      <c r="AD15" s="47">
        <v>12</v>
      </c>
      <c r="AE15" s="60">
        <v>13.8</v>
      </c>
      <c r="AF15" s="60">
        <v>10.7</v>
      </c>
      <c r="AG15" s="61">
        <v>69.099999999999994</v>
      </c>
      <c r="AH15" s="61">
        <v>49.9</v>
      </c>
      <c r="AI15" s="61">
        <v>47.6</v>
      </c>
      <c r="AJ15" s="61">
        <v>86</v>
      </c>
      <c r="AK15" s="61">
        <v>72.099999999999994</v>
      </c>
      <c r="AL15" s="61">
        <v>63.2</v>
      </c>
      <c r="AM15" s="62">
        <v>1.39</v>
      </c>
      <c r="AN15" s="62">
        <v>1.38</v>
      </c>
      <c r="AO15" s="62">
        <v>1.36</v>
      </c>
      <c r="AP15" s="47">
        <v>21.1</v>
      </c>
      <c r="AQ15" s="47">
        <v>21.2</v>
      </c>
      <c r="AR15" s="47">
        <v>22.1</v>
      </c>
      <c r="AS15" s="47">
        <v>41.7</v>
      </c>
      <c r="AT15" s="60">
        <v>46.4</v>
      </c>
      <c r="AU15" s="64">
        <v>53.8</v>
      </c>
      <c r="AV15" s="47">
        <v>38.299999999999997</v>
      </c>
      <c r="AW15" s="60">
        <v>34.4</v>
      </c>
      <c r="AX15" s="64">
        <v>30.7</v>
      </c>
      <c r="AY15" s="47">
        <v>13.3</v>
      </c>
      <c r="AZ15" s="60">
        <v>12.8</v>
      </c>
      <c r="BA15" s="32">
        <v>9.3000000000000007</v>
      </c>
      <c r="BE15" s="47">
        <v>5</v>
      </c>
      <c r="BF15" s="60">
        <v>1.2</v>
      </c>
      <c r="BG15" s="32">
        <v>0.7</v>
      </c>
      <c r="BH15" s="32">
        <v>94.9</v>
      </c>
      <c r="BI15" s="32">
        <v>82.4</v>
      </c>
      <c r="BJ15" s="32">
        <v>87.4</v>
      </c>
      <c r="BK15" s="32">
        <v>87.5</v>
      </c>
      <c r="BL15" s="32">
        <v>86.8</v>
      </c>
      <c r="BM15" s="32">
        <v>85.4</v>
      </c>
      <c r="BN15" s="47">
        <v>80</v>
      </c>
      <c r="BO15" s="32">
        <v>78.5</v>
      </c>
      <c r="BP15" s="32">
        <v>77</v>
      </c>
      <c r="BQ15" s="32">
        <v>100</v>
      </c>
      <c r="BR15" s="32">
        <v>86.5</v>
      </c>
      <c r="BS15" s="32">
        <v>86.3</v>
      </c>
      <c r="BT15" s="47">
        <v>0</v>
      </c>
      <c r="BU15" s="32">
        <v>-4.5</v>
      </c>
      <c r="BV15" s="32">
        <v>-5.9</v>
      </c>
      <c r="BW15" s="32">
        <v>9.6</v>
      </c>
      <c r="BX15" s="32">
        <v>8.1</v>
      </c>
      <c r="BY15" s="32">
        <v>8.9</v>
      </c>
      <c r="BZ15" s="63">
        <v>16.100000000000001</v>
      </c>
      <c r="CA15" s="63">
        <v>16.100000000000001</v>
      </c>
      <c r="CB15" s="63">
        <v>15.5</v>
      </c>
      <c r="CC15" s="32">
        <v>15.2</v>
      </c>
      <c r="CD15" s="32">
        <v>14.4</v>
      </c>
      <c r="CE15" s="32">
        <v>14.7</v>
      </c>
      <c r="CF15" s="32"/>
      <c r="CG15" s="32"/>
      <c r="CH15" s="32"/>
      <c r="CI15" s="61"/>
      <c r="CJ15" s="33"/>
      <c r="CK15" s="33"/>
      <c r="CL15" s="32">
        <v>72.5</v>
      </c>
      <c r="CM15" s="32">
        <v>51.7</v>
      </c>
      <c r="CN15" s="32">
        <v>75.599999999999994</v>
      </c>
      <c r="CO15" s="32">
        <v>8.6</v>
      </c>
      <c r="CP15" s="32">
        <v>5.6</v>
      </c>
      <c r="CQ15" s="32">
        <v>5.3</v>
      </c>
      <c r="CR15" s="64">
        <v>51.5</v>
      </c>
      <c r="CS15" s="64">
        <v>44.2</v>
      </c>
      <c r="CT15" s="64">
        <v>42.9</v>
      </c>
      <c r="CU15" s="32" t="str">
        <f t="shared" si="0"/>
        <v>9830295D</v>
      </c>
      <c r="CV15" s="47">
        <v>74.763406940063092</v>
      </c>
      <c r="CW15" s="47">
        <v>43.468715697036224</v>
      </c>
      <c r="CX15" s="47">
        <v>37.207235798159317</v>
      </c>
      <c r="DA15" s="68"/>
    </row>
    <row r="16" spans="1:105" x14ac:dyDescent="0.2">
      <c r="A16" s="30" t="s">
        <v>153</v>
      </c>
      <c r="B16" s="30" t="s">
        <v>65</v>
      </c>
      <c r="C16" s="30" t="s">
        <v>104</v>
      </c>
      <c r="D16" s="30" t="s">
        <v>121</v>
      </c>
      <c r="E16" s="30" t="s">
        <v>113</v>
      </c>
      <c r="F16" s="31">
        <v>225</v>
      </c>
      <c r="G16" s="31">
        <v>46</v>
      </c>
      <c r="H16" s="31" t="s">
        <v>10</v>
      </c>
      <c r="I16" s="31">
        <v>105</v>
      </c>
      <c r="J16" s="31">
        <v>31</v>
      </c>
      <c r="K16" s="31" t="s">
        <v>10</v>
      </c>
      <c r="L16" s="31">
        <v>95</v>
      </c>
      <c r="M16" s="33">
        <v>37</v>
      </c>
      <c r="N16" s="33" t="s">
        <v>10</v>
      </c>
      <c r="O16" s="31">
        <v>96</v>
      </c>
      <c r="P16" s="33">
        <v>28</v>
      </c>
      <c r="Q16" s="33" t="s">
        <v>10</v>
      </c>
      <c r="R16" s="47">
        <v>160.30000000000001</v>
      </c>
      <c r="S16" s="60">
        <v>136.80000000000001</v>
      </c>
      <c r="T16" s="60">
        <v>127</v>
      </c>
      <c r="U16" s="60">
        <v>75.599999999999994</v>
      </c>
      <c r="V16" s="60">
        <v>44.7</v>
      </c>
      <c r="W16" s="60">
        <v>45.8</v>
      </c>
      <c r="X16" s="60">
        <v>4.5999999999999996</v>
      </c>
      <c r="Y16" s="60">
        <v>16.3</v>
      </c>
      <c r="Z16" s="60">
        <v>16.399999999999999</v>
      </c>
      <c r="AA16" s="47">
        <v>76.8</v>
      </c>
      <c r="AB16" s="60">
        <v>97.3</v>
      </c>
      <c r="AC16" s="47">
        <v>96.6</v>
      </c>
      <c r="AD16" s="47">
        <v>8.6999999999999993</v>
      </c>
      <c r="AE16" s="60">
        <v>13.8</v>
      </c>
      <c r="AF16" s="60">
        <v>10.7</v>
      </c>
      <c r="AG16" s="61">
        <v>72.2</v>
      </c>
      <c r="AH16" s="61">
        <v>49.9</v>
      </c>
      <c r="AI16" s="61">
        <v>47.6</v>
      </c>
      <c r="AJ16" s="61">
        <v>91.2</v>
      </c>
      <c r="AK16" s="61">
        <v>72.099999999999994</v>
      </c>
      <c r="AL16" s="61">
        <v>63.2</v>
      </c>
      <c r="AM16" s="62">
        <v>1.82</v>
      </c>
      <c r="AN16" s="62">
        <v>1.38</v>
      </c>
      <c r="AO16" s="62">
        <v>1.36</v>
      </c>
      <c r="AP16" s="47">
        <v>15.8</v>
      </c>
      <c r="AQ16" s="47">
        <v>21.2</v>
      </c>
      <c r="AR16" s="47">
        <v>22.1</v>
      </c>
      <c r="AS16" s="47">
        <v>17.2</v>
      </c>
      <c r="AT16" s="60">
        <v>46.4</v>
      </c>
      <c r="AU16" s="64">
        <v>53.8</v>
      </c>
      <c r="AV16" s="47">
        <v>51.7</v>
      </c>
      <c r="AW16" s="60">
        <v>34.4</v>
      </c>
      <c r="AX16" s="64">
        <v>30.7</v>
      </c>
      <c r="AY16" s="47">
        <v>27.6</v>
      </c>
      <c r="AZ16" s="60">
        <v>12.8</v>
      </c>
      <c r="BA16" s="32">
        <v>9.3000000000000007</v>
      </c>
      <c r="BE16" s="47">
        <v>3.4</v>
      </c>
      <c r="BF16" s="60">
        <v>1.2</v>
      </c>
      <c r="BG16" s="32">
        <v>0.7</v>
      </c>
      <c r="BH16" s="32">
        <v>75</v>
      </c>
      <c r="BI16" s="32">
        <v>82.4</v>
      </c>
      <c r="BJ16" s="32">
        <v>87.4</v>
      </c>
      <c r="BK16" s="32">
        <v>90.9</v>
      </c>
      <c r="BL16" s="32">
        <v>86.8</v>
      </c>
      <c r="BM16" s="32">
        <v>85.4</v>
      </c>
      <c r="BN16" s="47">
        <v>90.9</v>
      </c>
      <c r="BO16" s="32">
        <v>78.5</v>
      </c>
      <c r="BP16" s="32">
        <v>77</v>
      </c>
      <c r="BQ16" s="32">
        <v>60.7</v>
      </c>
      <c r="BR16" s="32">
        <v>86.5</v>
      </c>
      <c r="BS16" s="32">
        <v>86.3</v>
      </c>
      <c r="BT16" s="47">
        <v>2.9220779220779249</v>
      </c>
      <c r="BU16" s="32">
        <v>-4.5</v>
      </c>
      <c r="BV16" s="32">
        <v>-5.9</v>
      </c>
      <c r="BW16" s="32">
        <v>5.4</v>
      </c>
      <c r="BX16" s="32">
        <v>8.1</v>
      </c>
      <c r="BY16" s="32">
        <v>8.9</v>
      </c>
      <c r="BZ16" s="63">
        <v>14</v>
      </c>
      <c r="CA16" s="63">
        <v>16.100000000000001</v>
      </c>
      <c r="CB16" s="63">
        <v>15.5</v>
      </c>
      <c r="CC16" s="32">
        <v>13.1</v>
      </c>
      <c r="CD16" s="32">
        <v>14.4</v>
      </c>
      <c r="CE16" s="32">
        <v>14.7</v>
      </c>
      <c r="CF16" s="32"/>
      <c r="CG16" s="32"/>
      <c r="CH16" s="32"/>
      <c r="CI16" s="61"/>
      <c r="CJ16" s="33"/>
      <c r="CK16" s="33"/>
      <c r="CL16" s="32">
        <v>48.9</v>
      </c>
      <c r="CM16" s="32">
        <v>51.7</v>
      </c>
      <c r="CN16" s="32">
        <v>75.599999999999994</v>
      </c>
      <c r="CO16" s="32">
        <v>5.3</v>
      </c>
      <c r="CP16" s="32">
        <v>5.6</v>
      </c>
      <c r="CQ16" s="32">
        <v>5.3</v>
      </c>
      <c r="CR16" s="64">
        <v>40.700000000000003</v>
      </c>
      <c r="CS16" s="64">
        <v>44.2</v>
      </c>
      <c r="CT16" s="64">
        <v>42.9</v>
      </c>
      <c r="CU16" s="32" t="str">
        <f t="shared" si="0"/>
        <v>9830297F</v>
      </c>
      <c r="CV16" s="47">
        <v>70.526315789473685</v>
      </c>
      <c r="CW16" s="47">
        <v>43.468715697036224</v>
      </c>
      <c r="CX16" s="47">
        <v>37.207235798159317</v>
      </c>
      <c r="DA16" s="68"/>
    </row>
    <row r="17" spans="1:105" x14ac:dyDescent="0.2">
      <c r="A17" s="30" t="s">
        <v>154</v>
      </c>
      <c r="B17" s="30" t="s">
        <v>66</v>
      </c>
      <c r="C17" s="30" t="s">
        <v>104</v>
      </c>
      <c r="D17" s="30" t="s">
        <v>123</v>
      </c>
      <c r="E17" s="30" t="s">
        <v>113</v>
      </c>
      <c r="F17" s="31">
        <v>92</v>
      </c>
      <c r="G17" s="31" t="s">
        <v>10</v>
      </c>
      <c r="H17" s="31" t="s">
        <v>10</v>
      </c>
      <c r="I17" s="31">
        <v>52</v>
      </c>
      <c r="J17" s="31" t="s">
        <v>10</v>
      </c>
      <c r="K17" s="31" t="s">
        <v>10</v>
      </c>
      <c r="L17" s="31">
        <v>72</v>
      </c>
      <c r="M17" s="33" t="s">
        <v>10</v>
      </c>
      <c r="N17" s="33" t="s">
        <v>10</v>
      </c>
      <c r="O17" s="31">
        <v>69</v>
      </c>
      <c r="P17" s="33" t="s">
        <v>10</v>
      </c>
      <c r="Q17" s="33" t="s">
        <v>10</v>
      </c>
      <c r="R17" s="47">
        <v>167.8</v>
      </c>
      <c r="S17" s="60">
        <v>136.80000000000001</v>
      </c>
      <c r="T17" s="60">
        <v>127</v>
      </c>
      <c r="U17" s="60">
        <v>80</v>
      </c>
      <c r="V17" s="60">
        <v>44.7</v>
      </c>
      <c r="W17" s="60">
        <v>45.8</v>
      </c>
      <c r="X17" s="60">
        <v>4.3</v>
      </c>
      <c r="Y17" s="60">
        <v>16.3</v>
      </c>
      <c r="Z17" s="60">
        <v>16.399999999999999</v>
      </c>
      <c r="AA17" s="47">
        <v>82.5</v>
      </c>
      <c r="AB17" s="60">
        <v>97.3</v>
      </c>
      <c r="AC17" s="47">
        <v>96.6</v>
      </c>
      <c r="AD17" s="47">
        <v>20</v>
      </c>
      <c r="AE17" s="60">
        <v>13.8</v>
      </c>
      <c r="AF17" s="60">
        <v>10.7</v>
      </c>
      <c r="AG17" s="61">
        <v>75</v>
      </c>
      <c r="AH17" s="61">
        <v>49.9</v>
      </c>
      <c r="AI17" s="61">
        <v>47.6</v>
      </c>
      <c r="AJ17" s="61">
        <v>85</v>
      </c>
      <c r="AK17" s="61">
        <v>72.099999999999994</v>
      </c>
      <c r="AL17" s="61">
        <v>63.2</v>
      </c>
      <c r="AM17" s="62">
        <v>1.6</v>
      </c>
      <c r="AN17" s="62">
        <v>1.38</v>
      </c>
      <c r="AO17" s="62">
        <v>1.36</v>
      </c>
      <c r="AP17" s="47">
        <v>18</v>
      </c>
      <c r="AQ17" s="47">
        <v>21.2</v>
      </c>
      <c r="AR17" s="47">
        <v>22.1</v>
      </c>
      <c r="AS17" s="47">
        <v>0</v>
      </c>
      <c r="AT17" s="60">
        <v>46.4</v>
      </c>
      <c r="AU17" s="64">
        <v>53.8</v>
      </c>
      <c r="AV17" s="47">
        <v>100</v>
      </c>
      <c r="AW17" s="60">
        <v>34.4</v>
      </c>
      <c r="AX17" s="64">
        <v>30.7</v>
      </c>
      <c r="AY17" s="47">
        <v>0</v>
      </c>
      <c r="AZ17" s="60">
        <v>12.8</v>
      </c>
      <c r="BA17" s="32">
        <v>9.3000000000000007</v>
      </c>
      <c r="BE17" s="47">
        <v>0</v>
      </c>
      <c r="BF17" s="60">
        <v>1.2</v>
      </c>
      <c r="BG17" s="32">
        <v>0.7</v>
      </c>
      <c r="BH17" s="32">
        <v>100</v>
      </c>
      <c r="BI17" s="32">
        <v>82.4</v>
      </c>
      <c r="BJ17" s="32">
        <v>87.4</v>
      </c>
      <c r="BK17" s="32">
        <v>100</v>
      </c>
      <c r="BL17" s="32">
        <v>86.8</v>
      </c>
      <c r="BM17" s="32">
        <v>85.4</v>
      </c>
      <c r="BN17" s="47">
        <v>42.9</v>
      </c>
      <c r="BO17" s="32">
        <v>78.5</v>
      </c>
      <c r="BP17" s="32">
        <v>77</v>
      </c>
      <c r="BQ17" s="32">
        <v>87.5</v>
      </c>
      <c r="BR17" s="32">
        <v>86.5</v>
      </c>
      <c r="BS17" s="32">
        <v>86.3</v>
      </c>
      <c r="BT17" s="47">
        <v>0</v>
      </c>
      <c r="BU17" s="32">
        <v>-4.5</v>
      </c>
      <c r="BV17" s="32">
        <v>-5.9</v>
      </c>
      <c r="BW17" s="32">
        <v>6.1</v>
      </c>
      <c r="BX17" s="32">
        <v>8.1</v>
      </c>
      <c r="BY17" s="32">
        <v>8.9</v>
      </c>
      <c r="BZ17" s="63">
        <v>17</v>
      </c>
      <c r="CA17" s="63">
        <v>16.100000000000001</v>
      </c>
      <c r="CB17" s="63">
        <v>15.5</v>
      </c>
      <c r="CC17" s="32">
        <v>14.2</v>
      </c>
      <c r="CD17" s="32">
        <v>14.4</v>
      </c>
      <c r="CE17" s="32">
        <v>14.7</v>
      </c>
      <c r="CF17" s="32"/>
      <c r="CG17" s="32"/>
      <c r="CH17" s="32"/>
      <c r="CI17" s="61"/>
      <c r="CJ17" s="33"/>
      <c r="CK17" s="33"/>
      <c r="CL17" s="32">
        <v>24.7</v>
      </c>
      <c r="CM17" s="32">
        <v>51.7</v>
      </c>
      <c r="CN17" s="32">
        <v>75.599999999999994</v>
      </c>
      <c r="CO17" s="32">
        <v>4.9000000000000004</v>
      </c>
      <c r="CP17" s="32">
        <v>5.6</v>
      </c>
      <c r="CQ17" s="32">
        <v>5.3</v>
      </c>
      <c r="CR17" s="64">
        <v>41.3</v>
      </c>
      <c r="CS17" s="64">
        <v>44.2</v>
      </c>
      <c r="CT17" s="64">
        <v>42.9</v>
      </c>
      <c r="CU17" s="32" t="str">
        <f t="shared" si="0"/>
        <v>9830298G</v>
      </c>
      <c r="CV17" s="47">
        <v>54.166666666666664</v>
      </c>
      <c r="CW17" s="47">
        <v>43.468715697036224</v>
      </c>
      <c r="CX17" s="47">
        <v>37.207235798159317</v>
      </c>
      <c r="DA17" s="68"/>
    </row>
    <row r="18" spans="1:105" x14ac:dyDescent="0.2">
      <c r="A18" s="30" t="s">
        <v>155</v>
      </c>
      <c r="B18" s="30" t="s">
        <v>67</v>
      </c>
      <c r="C18" s="30" t="s">
        <v>27</v>
      </c>
      <c r="D18" s="30" t="s">
        <v>43</v>
      </c>
      <c r="E18" s="30" t="s">
        <v>112</v>
      </c>
      <c r="F18" s="31">
        <v>548</v>
      </c>
      <c r="G18" s="31" t="s">
        <v>10</v>
      </c>
      <c r="H18" s="31" t="s">
        <v>10</v>
      </c>
      <c r="I18" s="31">
        <v>409</v>
      </c>
      <c r="J18" s="31" t="s">
        <v>10</v>
      </c>
      <c r="K18" s="31" t="s">
        <v>10</v>
      </c>
      <c r="L18" s="31">
        <v>380</v>
      </c>
      <c r="M18" s="33" t="s">
        <v>10</v>
      </c>
      <c r="N18" s="33" t="s">
        <v>10</v>
      </c>
      <c r="O18" s="31">
        <v>386</v>
      </c>
      <c r="P18" s="33" t="s">
        <v>10</v>
      </c>
      <c r="Q18" s="33" t="s">
        <v>10</v>
      </c>
      <c r="R18" s="47">
        <v>98.6</v>
      </c>
      <c r="S18" s="60">
        <v>121</v>
      </c>
      <c r="T18" s="60">
        <v>127</v>
      </c>
      <c r="U18" s="60">
        <v>57.4</v>
      </c>
      <c r="V18" s="60">
        <v>46.1</v>
      </c>
      <c r="W18" s="60">
        <v>45.8</v>
      </c>
      <c r="X18" s="60">
        <v>5.0999999999999996</v>
      </c>
      <c r="Y18" s="60">
        <v>16.399999999999999</v>
      </c>
      <c r="Z18" s="60">
        <v>16.399999999999999</v>
      </c>
      <c r="AA18" s="47">
        <v>81.599999999999994</v>
      </c>
      <c r="AB18" s="60">
        <v>96.4</v>
      </c>
      <c r="AC18" s="47">
        <v>96.6</v>
      </c>
      <c r="AD18" s="47">
        <v>5.7</v>
      </c>
      <c r="AE18" s="60">
        <v>9.8000000000000007</v>
      </c>
      <c r="AF18" s="60">
        <v>10.7</v>
      </c>
      <c r="AG18" s="61">
        <v>48.3</v>
      </c>
      <c r="AH18" s="61">
        <v>46.9</v>
      </c>
      <c r="AI18" s="61">
        <v>47.6</v>
      </c>
      <c r="AJ18" s="61">
        <v>75.3</v>
      </c>
      <c r="AK18" s="61">
        <v>60.6</v>
      </c>
      <c r="AL18" s="61">
        <v>63.2</v>
      </c>
      <c r="AM18" s="62">
        <v>1.47</v>
      </c>
      <c r="AN18" s="62">
        <v>1.36</v>
      </c>
      <c r="AO18" s="62">
        <v>1.36</v>
      </c>
      <c r="AP18" s="47">
        <v>20.2</v>
      </c>
      <c r="AQ18" s="47">
        <v>22.4</v>
      </c>
      <c r="AR18" s="47">
        <v>22.1</v>
      </c>
      <c r="AS18" s="47">
        <v>44</v>
      </c>
      <c r="AT18" s="60">
        <v>56</v>
      </c>
      <c r="AU18" s="64">
        <v>53.8</v>
      </c>
      <c r="AV18" s="47">
        <v>33</v>
      </c>
      <c r="AW18" s="60">
        <v>29.5</v>
      </c>
      <c r="AX18" s="64">
        <v>30.7</v>
      </c>
      <c r="AY18" s="47">
        <v>15</v>
      </c>
      <c r="AZ18" s="60">
        <v>8.1999999999999993</v>
      </c>
      <c r="BA18" s="32">
        <v>9.3000000000000007</v>
      </c>
      <c r="BE18" s="47">
        <v>2</v>
      </c>
      <c r="BF18" s="60">
        <v>0.5</v>
      </c>
      <c r="BG18" s="32">
        <v>0.7</v>
      </c>
      <c r="BH18" s="32">
        <v>96.9</v>
      </c>
      <c r="BI18" s="32">
        <v>88.6</v>
      </c>
      <c r="BJ18" s="32">
        <v>87.4</v>
      </c>
      <c r="BK18" s="32">
        <v>94.1</v>
      </c>
      <c r="BL18" s="32">
        <v>84.9</v>
      </c>
      <c r="BM18" s="32">
        <v>85.4</v>
      </c>
      <c r="BN18" s="47">
        <v>80</v>
      </c>
      <c r="BO18" s="32">
        <v>76.2</v>
      </c>
      <c r="BP18" s="32">
        <v>77</v>
      </c>
      <c r="BQ18" s="32">
        <v>81.5</v>
      </c>
      <c r="BR18" s="32">
        <v>86.3</v>
      </c>
      <c r="BS18" s="32">
        <v>86.3</v>
      </c>
      <c r="BT18" s="47">
        <v>-2.5743707093821513</v>
      </c>
      <c r="BU18" s="32">
        <v>-6.3</v>
      </c>
      <c r="BV18" s="32">
        <v>-5.9</v>
      </c>
      <c r="BW18" s="32">
        <v>7.7</v>
      </c>
      <c r="BX18" s="32">
        <v>9.1</v>
      </c>
      <c r="BY18" s="32">
        <v>8.9</v>
      </c>
      <c r="BZ18" s="63">
        <v>15.4</v>
      </c>
      <c r="CA18" s="63">
        <v>15.946999999999999</v>
      </c>
      <c r="CB18" s="63">
        <v>15.5</v>
      </c>
      <c r="CC18" s="32">
        <v>15.1</v>
      </c>
      <c r="CD18" s="32">
        <v>14.8</v>
      </c>
      <c r="CE18" s="32">
        <v>14.7</v>
      </c>
      <c r="CF18" s="32"/>
      <c r="CG18" s="32"/>
      <c r="CH18" s="32"/>
      <c r="CI18" s="32"/>
      <c r="CK18" s="33"/>
      <c r="CL18" s="32">
        <v>93</v>
      </c>
      <c r="CM18" s="32">
        <v>82.6</v>
      </c>
      <c r="CN18" s="32">
        <v>75.599999999999994</v>
      </c>
      <c r="CO18" s="32">
        <v>4.5</v>
      </c>
      <c r="CP18" s="32">
        <v>5.2</v>
      </c>
      <c r="CQ18" s="32">
        <v>5.3</v>
      </c>
      <c r="CR18" s="64">
        <v>43.7</v>
      </c>
      <c r="CS18" s="64">
        <v>42.5</v>
      </c>
      <c r="CT18" s="64">
        <v>42.9</v>
      </c>
      <c r="CU18" s="32" t="str">
        <f t="shared" si="0"/>
        <v>9830304N</v>
      </c>
      <c r="CV18" s="47">
        <v>41.05263157894737</v>
      </c>
      <c r="CW18" s="47">
        <v>35.323259846420605</v>
      </c>
      <c r="CX18" s="47">
        <v>37.207235798159317</v>
      </c>
      <c r="DA18" s="68"/>
    </row>
    <row r="19" spans="1:105" x14ac:dyDescent="0.2">
      <c r="A19" s="30" t="s">
        <v>156</v>
      </c>
      <c r="B19" s="30" t="s">
        <v>68</v>
      </c>
      <c r="C19" s="30" t="s">
        <v>104</v>
      </c>
      <c r="D19" s="30" t="s">
        <v>124</v>
      </c>
      <c r="E19" s="30" t="s">
        <v>113</v>
      </c>
      <c r="F19" s="31">
        <v>143</v>
      </c>
      <c r="G19" s="31" t="s">
        <v>10</v>
      </c>
      <c r="H19" s="31" t="s">
        <v>10</v>
      </c>
      <c r="I19" s="31">
        <v>45</v>
      </c>
      <c r="J19" s="31" t="s">
        <v>10</v>
      </c>
      <c r="K19" s="31" t="s">
        <v>10</v>
      </c>
      <c r="L19" s="31">
        <v>43</v>
      </c>
      <c r="M19" s="33" t="s">
        <v>10</v>
      </c>
      <c r="N19" s="33" t="s">
        <v>10</v>
      </c>
      <c r="O19" s="31">
        <v>48</v>
      </c>
      <c r="P19" s="33" t="s">
        <v>10</v>
      </c>
      <c r="Q19" s="33" t="s">
        <v>10</v>
      </c>
      <c r="R19" s="47">
        <v>137.6</v>
      </c>
      <c r="S19" s="60">
        <v>136.80000000000001</v>
      </c>
      <c r="T19" s="60">
        <v>127</v>
      </c>
      <c r="U19" s="60">
        <v>83.7</v>
      </c>
      <c r="V19" s="60">
        <v>44.7</v>
      </c>
      <c r="W19" s="60">
        <v>45.8</v>
      </c>
      <c r="X19" s="60">
        <v>4.7</v>
      </c>
      <c r="Y19" s="60">
        <v>16.3</v>
      </c>
      <c r="Z19" s="60">
        <v>16.399999999999999</v>
      </c>
      <c r="AA19" s="47">
        <v>82.9</v>
      </c>
      <c r="AB19" s="60">
        <v>97.3</v>
      </c>
      <c r="AC19" s="47">
        <v>96.6</v>
      </c>
      <c r="AD19" s="47">
        <v>20</v>
      </c>
      <c r="AE19" s="60">
        <v>13.8</v>
      </c>
      <c r="AF19" s="60">
        <v>10.7</v>
      </c>
      <c r="AG19" s="61">
        <v>100</v>
      </c>
      <c r="AH19" s="61">
        <v>49.9</v>
      </c>
      <c r="AI19" s="61">
        <v>47.6</v>
      </c>
      <c r="AJ19" s="61">
        <v>100</v>
      </c>
      <c r="AK19" s="61">
        <v>72.099999999999994</v>
      </c>
      <c r="AL19" s="61">
        <v>63.2</v>
      </c>
      <c r="AM19" s="62">
        <v>1.79</v>
      </c>
      <c r="AN19" s="62">
        <v>1.38</v>
      </c>
      <c r="AO19" s="62">
        <v>1.36</v>
      </c>
      <c r="AP19" s="47">
        <v>21.5</v>
      </c>
      <c r="AQ19" s="47">
        <v>21.2</v>
      </c>
      <c r="AR19" s="47">
        <v>22.1</v>
      </c>
      <c r="AS19" s="47">
        <v>14.3</v>
      </c>
      <c r="AT19" s="60">
        <v>46.4</v>
      </c>
      <c r="AU19" s="64">
        <v>53.8</v>
      </c>
      <c r="AV19" s="47">
        <v>0</v>
      </c>
      <c r="AW19" s="60">
        <v>34.4</v>
      </c>
      <c r="AX19" s="64">
        <v>30.7</v>
      </c>
      <c r="AY19" s="47">
        <v>57.1</v>
      </c>
      <c r="AZ19" s="60">
        <v>12.8</v>
      </c>
      <c r="BA19" s="32">
        <v>9.3000000000000007</v>
      </c>
      <c r="BE19" s="47">
        <v>0</v>
      </c>
      <c r="BF19" s="60">
        <v>1.2</v>
      </c>
      <c r="BG19" s="32">
        <v>0.7</v>
      </c>
      <c r="BH19" s="67"/>
      <c r="BI19" s="32">
        <v>82.4</v>
      </c>
      <c r="BJ19" s="32">
        <v>87.4</v>
      </c>
      <c r="BK19" s="32">
        <v>100</v>
      </c>
      <c r="BL19" s="32">
        <v>86.8</v>
      </c>
      <c r="BM19" s="32">
        <v>85.4</v>
      </c>
      <c r="BN19" s="47">
        <v>100</v>
      </c>
      <c r="BO19" s="32">
        <v>78.5</v>
      </c>
      <c r="BP19" s="32">
        <v>77</v>
      </c>
      <c r="BQ19" s="32">
        <v>85.7</v>
      </c>
      <c r="BR19" s="32">
        <v>86.5</v>
      </c>
      <c r="BS19" s="32">
        <v>86.3</v>
      </c>
      <c r="BT19" s="47">
        <v>0</v>
      </c>
      <c r="BU19" s="32">
        <v>-4.5</v>
      </c>
      <c r="BV19" s="32">
        <v>-5.9</v>
      </c>
      <c r="BW19" s="32">
        <v>5.2</v>
      </c>
      <c r="BX19" s="32">
        <v>8.1</v>
      </c>
      <c r="BY19" s="32">
        <v>8.9</v>
      </c>
      <c r="BZ19" s="63">
        <v>15.6</v>
      </c>
      <c r="CA19" s="63">
        <v>16.100000000000001</v>
      </c>
      <c r="CB19" s="63">
        <v>15.5</v>
      </c>
      <c r="CC19" s="32">
        <v>14.9</v>
      </c>
      <c r="CD19" s="32">
        <v>14.4</v>
      </c>
      <c r="CE19" s="32">
        <v>14.7</v>
      </c>
      <c r="CF19" s="32"/>
      <c r="CG19" s="32"/>
      <c r="CH19" s="32"/>
      <c r="CI19" s="61"/>
      <c r="CJ19" s="33"/>
      <c r="CK19" s="33"/>
      <c r="CL19" s="32">
        <v>11.9</v>
      </c>
      <c r="CM19" s="32">
        <v>51.7</v>
      </c>
      <c r="CN19" s="32">
        <v>75.599999999999994</v>
      </c>
      <c r="CO19" s="32">
        <v>2.8</v>
      </c>
      <c r="CP19" s="32">
        <v>5.6</v>
      </c>
      <c r="CQ19" s="32">
        <v>5.3</v>
      </c>
      <c r="CR19" s="64">
        <v>40</v>
      </c>
      <c r="CS19" s="64">
        <v>44.2</v>
      </c>
      <c r="CT19" s="64">
        <v>42.9</v>
      </c>
      <c r="CU19" s="32" t="str">
        <f t="shared" si="0"/>
        <v>9830313Y</v>
      </c>
      <c r="CV19" s="47">
        <v>60.465116279069761</v>
      </c>
      <c r="CW19" s="47">
        <v>43.468715697036224</v>
      </c>
      <c r="CX19" s="47">
        <v>37.207235798159317</v>
      </c>
      <c r="DA19" s="68"/>
    </row>
    <row r="20" spans="1:105" x14ac:dyDescent="0.2">
      <c r="A20" s="30" t="s">
        <v>157</v>
      </c>
      <c r="B20" s="30" t="s">
        <v>69</v>
      </c>
      <c r="C20" s="30" t="s">
        <v>104</v>
      </c>
      <c r="D20" s="30" t="s">
        <v>125</v>
      </c>
      <c r="E20" s="30" t="s">
        <v>113</v>
      </c>
      <c r="F20" s="31">
        <v>136</v>
      </c>
      <c r="G20" s="31" t="s">
        <v>10</v>
      </c>
      <c r="H20" s="31" t="s">
        <v>10</v>
      </c>
      <c r="I20" s="31">
        <v>128</v>
      </c>
      <c r="J20" s="31" t="s">
        <v>10</v>
      </c>
      <c r="K20" s="31" t="s">
        <v>10</v>
      </c>
      <c r="L20" s="31">
        <v>124</v>
      </c>
      <c r="M20" s="33" t="s">
        <v>10</v>
      </c>
      <c r="N20" s="33" t="s">
        <v>10</v>
      </c>
      <c r="O20" s="31">
        <v>128</v>
      </c>
      <c r="P20" s="33" t="s">
        <v>10</v>
      </c>
      <c r="Q20" s="33" t="s">
        <v>10</v>
      </c>
      <c r="R20" s="47">
        <v>173.1</v>
      </c>
      <c r="S20" s="60">
        <v>136.80000000000001</v>
      </c>
      <c r="T20" s="60">
        <v>127</v>
      </c>
      <c r="U20" s="60">
        <v>59.8</v>
      </c>
      <c r="V20" s="60">
        <v>44.7</v>
      </c>
      <c r="W20" s="60">
        <v>45.8</v>
      </c>
      <c r="X20" s="60">
        <v>10.3</v>
      </c>
      <c r="Y20" s="60">
        <v>16.3</v>
      </c>
      <c r="Z20" s="60">
        <v>16.399999999999999</v>
      </c>
      <c r="AA20" s="47">
        <v>91</v>
      </c>
      <c r="AB20" s="60">
        <v>97.3</v>
      </c>
      <c r="AC20" s="47">
        <v>96.6</v>
      </c>
      <c r="AD20" s="47">
        <v>16.2</v>
      </c>
      <c r="AE20" s="60">
        <v>13.8</v>
      </c>
      <c r="AF20" s="60">
        <v>10.7</v>
      </c>
      <c r="AG20" s="61">
        <v>67.599999999999994</v>
      </c>
      <c r="AH20" s="61">
        <v>49.9</v>
      </c>
      <c r="AI20" s="61">
        <v>47.6</v>
      </c>
      <c r="AJ20" s="61">
        <v>93.9</v>
      </c>
      <c r="AK20" s="61">
        <v>72.099999999999994</v>
      </c>
      <c r="AL20" s="61">
        <v>63.2</v>
      </c>
      <c r="AM20" s="62">
        <v>1.67</v>
      </c>
      <c r="AN20" s="62">
        <v>1.38</v>
      </c>
      <c r="AO20" s="62">
        <v>1.36</v>
      </c>
      <c r="AP20" s="47">
        <v>17.7</v>
      </c>
      <c r="AQ20" s="47">
        <v>21.2</v>
      </c>
      <c r="AR20" s="47">
        <v>22.1</v>
      </c>
      <c r="AS20" s="47">
        <v>25.7</v>
      </c>
      <c r="AT20" s="60">
        <v>46.4</v>
      </c>
      <c r="AU20" s="64">
        <v>53.8</v>
      </c>
      <c r="AV20" s="47">
        <v>31.4</v>
      </c>
      <c r="AW20" s="60">
        <v>34.4</v>
      </c>
      <c r="AX20" s="64">
        <v>30.7</v>
      </c>
      <c r="AY20" s="47">
        <v>25.7</v>
      </c>
      <c r="AZ20" s="60">
        <v>12.8</v>
      </c>
      <c r="BA20" s="32">
        <v>9.3000000000000007</v>
      </c>
      <c r="BE20" s="47">
        <v>2.9</v>
      </c>
      <c r="BF20" s="60">
        <v>1.2</v>
      </c>
      <c r="BG20" s="32">
        <v>0.7</v>
      </c>
      <c r="BH20" s="32">
        <v>80</v>
      </c>
      <c r="BI20" s="32">
        <v>82.4</v>
      </c>
      <c r="BJ20" s="32">
        <v>87.4</v>
      </c>
      <c r="BK20" s="32">
        <v>66.7</v>
      </c>
      <c r="BL20" s="32">
        <v>86.8</v>
      </c>
      <c r="BM20" s="32">
        <v>85.4</v>
      </c>
      <c r="BN20" s="47">
        <v>100</v>
      </c>
      <c r="BO20" s="32">
        <v>78.5</v>
      </c>
      <c r="BP20" s="32">
        <v>77</v>
      </c>
      <c r="BQ20" s="32">
        <v>70.400000000000006</v>
      </c>
      <c r="BR20" s="32">
        <v>86.5</v>
      </c>
      <c r="BS20" s="32">
        <v>86.3</v>
      </c>
      <c r="BT20" s="47">
        <v>-10.370370370370367</v>
      </c>
      <c r="BU20" s="32">
        <v>-4.5</v>
      </c>
      <c r="BV20" s="32">
        <v>-5.9</v>
      </c>
      <c r="BW20" s="32">
        <v>5.6</v>
      </c>
      <c r="BX20" s="32">
        <v>8.1</v>
      </c>
      <c r="BY20" s="32">
        <v>8.9</v>
      </c>
      <c r="BZ20" s="63">
        <v>16.2</v>
      </c>
      <c r="CA20" s="63">
        <v>16.100000000000001</v>
      </c>
      <c r="CB20" s="63">
        <v>15.5</v>
      </c>
      <c r="CC20" s="32">
        <v>13.9</v>
      </c>
      <c r="CD20" s="32">
        <v>14.4</v>
      </c>
      <c r="CE20" s="32">
        <v>14.7</v>
      </c>
      <c r="CF20" s="32"/>
      <c r="CG20" s="32"/>
      <c r="CH20" s="32"/>
      <c r="CI20" s="61"/>
      <c r="CJ20" s="33"/>
      <c r="CK20" s="33"/>
      <c r="CL20" s="32">
        <v>34</v>
      </c>
      <c r="CM20" s="32">
        <v>51.7</v>
      </c>
      <c r="CN20" s="32">
        <v>75.599999999999994</v>
      </c>
      <c r="CO20" s="32">
        <v>3</v>
      </c>
      <c r="CP20" s="32">
        <v>5.6</v>
      </c>
      <c r="CQ20" s="32">
        <v>5.3</v>
      </c>
      <c r="CR20" s="64">
        <v>37.200000000000003</v>
      </c>
      <c r="CS20" s="64">
        <v>44.2</v>
      </c>
      <c r="CT20" s="64">
        <v>42.9</v>
      </c>
      <c r="CU20" s="32" t="str">
        <f t="shared" si="0"/>
        <v>9830354T</v>
      </c>
      <c r="CV20" s="47">
        <v>62.096774193548384</v>
      </c>
      <c r="CW20" s="47">
        <v>43.468715697036224</v>
      </c>
      <c r="CX20" s="47">
        <v>37.207235798159317</v>
      </c>
      <c r="DA20" s="68"/>
    </row>
    <row r="21" spans="1:105" x14ac:dyDescent="0.2">
      <c r="A21" s="30" t="s">
        <v>158</v>
      </c>
      <c r="B21" s="30" t="s">
        <v>70</v>
      </c>
      <c r="C21" s="30" t="s">
        <v>27</v>
      </c>
      <c r="D21" s="30" t="s">
        <v>123</v>
      </c>
      <c r="E21" s="30" t="s">
        <v>112</v>
      </c>
      <c r="F21" s="31">
        <v>117</v>
      </c>
      <c r="G21" s="31" t="s">
        <v>10</v>
      </c>
      <c r="H21" s="31" t="s">
        <v>10</v>
      </c>
      <c r="I21" s="31">
        <v>85</v>
      </c>
      <c r="J21" s="31" t="s">
        <v>10</v>
      </c>
      <c r="K21" s="31" t="s">
        <v>10</v>
      </c>
      <c r="L21" s="31">
        <v>72</v>
      </c>
      <c r="M21" s="33" t="s">
        <v>10</v>
      </c>
      <c r="N21" s="33" t="s">
        <v>10</v>
      </c>
      <c r="O21" s="31">
        <v>74</v>
      </c>
      <c r="P21" s="33" t="s">
        <v>10</v>
      </c>
      <c r="Q21" s="33" t="s">
        <v>10</v>
      </c>
      <c r="R21" s="47">
        <v>168.6</v>
      </c>
      <c r="S21" s="60">
        <v>121</v>
      </c>
      <c r="T21" s="60">
        <v>127</v>
      </c>
      <c r="U21" s="60">
        <v>69.400000000000006</v>
      </c>
      <c r="V21" s="60">
        <v>46.1</v>
      </c>
      <c r="W21" s="60">
        <v>45.8</v>
      </c>
      <c r="X21" s="60">
        <v>4.2</v>
      </c>
      <c r="Y21" s="60">
        <v>16.399999999999999</v>
      </c>
      <c r="Z21" s="60">
        <v>16.399999999999999</v>
      </c>
      <c r="AA21" s="47">
        <v>77.3</v>
      </c>
      <c r="AB21" s="60">
        <v>96.4</v>
      </c>
      <c r="AC21" s="47">
        <v>96.6</v>
      </c>
      <c r="AD21" s="47">
        <v>23.1</v>
      </c>
      <c r="AE21" s="60">
        <v>9.8000000000000007</v>
      </c>
      <c r="AF21" s="60">
        <v>10.7</v>
      </c>
      <c r="AG21" s="61">
        <v>76.900000000000006</v>
      </c>
      <c r="AH21" s="61">
        <v>46.9</v>
      </c>
      <c r="AI21" s="61">
        <v>47.6</v>
      </c>
      <c r="AJ21" s="61">
        <v>61.5</v>
      </c>
      <c r="AK21" s="61">
        <v>60.6</v>
      </c>
      <c r="AL21" s="61">
        <v>63.2</v>
      </c>
      <c r="AM21" s="62">
        <v>1.81</v>
      </c>
      <c r="AN21" s="62">
        <v>1.36</v>
      </c>
      <c r="AO21" s="62">
        <v>1.36</v>
      </c>
      <c r="AP21" s="47">
        <v>16</v>
      </c>
      <c r="AQ21" s="47">
        <v>22.4</v>
      </c>
      <c r="AR21" s="47">
        <v>22.1</v>
      </c>
      <c r="AS21" s="47">
        <v>44</v>
      </c>
      <c r="AT21" s="60">
        <v>56</v>
      </c>
      <c r="AU21" s="64">
        <v>53.8</v>
      </c>
      <c r="AV21" s="47">
        <v>44</v>
      </c>
      <c r="AW21" s="60">
        <v>29.5</v>
      </c>
      <c r="AX21" s="64">
        <v>30.7</v>
      </c>
      <c r="AY21" s="47">
        <v>8</v>
      </c>
      <c r="AZ21" s="60">
        <v>8.1999999999999993</v>
      </c>
      <c r="BA21" s="32">
        <v>9.3000000000000007</v>
      </c>
      <c r="BE21" s="47">
        <v>0</v>
      </c>
      <c r="BF21" s="60">
        <v>0.5</v>
      </c>
      <c r="BG21" s="32">
        <v>0.7</v>
      </c>
      <c r="BH21" s="32">
        <v>100</v>
      </c>
      <c r="BI21" s="32">
        <v>88.6</v>
      </c>
      <c r="BJ21" s="32">
        <v>87.4</v>
      </c>
      <c r="BK21" s="32">
        <v>87.5</v>
      </c>
      <c r="BL21" s="32">
        <v>84.9</v>
      </c>
      <c r="BM21" s="32">
        <v>85.4</v>
      </c>
      <c r="BN21" s="47">
        <v>100</v>
      </c>
      <c r="BO21" s="32">
        <v>76.2</v>
      </c>
      <c r="BP21" s="32">
        <v>77</v>
      </c>
      <c r="BQ21" s="32">
        <v>80</v>
      </c>
      <c r="BR21" s="32">
        <v>86.3</v>
      </c>
      <c r="BS21" s="32">
        <v>86.3</v>
      </c>
      <c r="BT21" s="47">
        <v>5</v>
      </c>
      <c r="BU21" s="32">
        <v>-6.3</v>
      </c>
      <c r="BV21" s="32">
        <v>-5.9</v>
      </c>
      <c r="BW21" s="32">
        <v>7.2</v>
      </c>
      <c r="BX21" s="32">
        <v>9.1</v>
      </c>
      <c r="BY21" s="32">
        <v>8.9</v>
      </c>
      <c r="BZ21" s="63">
        <v>14</v>
      </c>
      <c r="CA21" s="63">
        <v>15.946999999999999</v>
      </c>
      <c r="CB21" s="63">
        <v>15.5</v>
      </c>
      <c r="CC21" s="32">
        <v>13.5</v>
      </c>
      <c r="CD21" s="32">
        <v>14.8</v>
      </c>
      <c r="CE21" s="32">
        <v>14.7</v>
      </c>
      <c r="CF21" s="32"/>
      <c r="CG21" s="32"/>
      <c r="CH21" s="32"/>
      <c r="CI21" s="32"/>
      <c r="CK21" s="33"/>
      <c r="CL21" s="32">
        <v>57.6</v>
      </c>
      <c r="CM21" s="32">
        <v>82.6</v>
      </c>
      <c r="CN21" s="32">
        <v>75.599999999999994</v>
      </c>
      <c r="CO21" s="32">
        <v>1.4</v>
      </c>
      <c r="CP21" s="32">
        <v>5.2</v>
      </c>
      <c r="CQ21" s="32">
        <v>5.3</v>
      </c>
      <c r="CR21" s="64">
        <v>40</v>
      </c>
      <c r="CS21" s="64">
        <v>42.5</v>
      </c>
      <c r="CT21" s="64">
        <v>42.9</v>
      </c>
      <c r="CU21" s="32" t="str">
        <f t="shared" si="0"/>
        <v>9830355U</v>
      </c>
      <c r="CV21" s="47">
        <v>52.777777777777779</v>
      </c>
      <c r="CW21" s="47">
        <v>35.323259846420605</v>
      </c>
      <c r="CX21" s="47">
        <v>37.207235798159317</v>
      </c>
      <c r="DA21" s="68"/>
    </row>
    <row r="22" spans="1:105" x14ac:dyDescent="0.2">
      <c r="A22" s="30" t="s">
        <v>137</v>
      </c>
      <c r="B22" s="30" t="s">
        <v>11</v>
      </c>
      <c r="C22" s="30" t="s">
        <v>27</v>
      </c>
      <c r="D22" s="30" t="s">
        <v>43</v>
      </c>
      <c r="E22" s="30" t="s">
        <v>112</v>
      </c>
      <c r="F22" s="31">
        <v>1049</v>
      </c>
      <c r="G22" s="31">
        <v>66</v>
      </c>
      <c r="H22" s="31">
        <v>21</v>
      </c>
      <c r="I22" s="31">
        <v>666</v>
      </c>
      <c r="J22" s="31">
        <v>57</v>
      </c>
      <c r="K22" s="31" t="s">
        <v>10</v>
      </c>
      <c r="L22" s="31">
        <v>656</v>
      </c>
      <c r="M22" s="33">
        <v>66</v>
      </c>
      <c r="N22" s="33" t="s">
        <v>10</v>
      </c>
      <c r="O22" s="31">
        <v>627</v>
      </c>
      <c r="P22" s="33">
        <v>73</v>
      </c>
      <c r="Q22" s="33" t="s">
        <v>10</v>
      </c>
      <c r="R22" s="47">
        <v>99.5</v>
      </c>
      <c r="S22" s="60">
        <v>121</v>
      </c>
      <c r="T22" s="60">
        <v>127</v>
      </c>
      <c r="U22" s="60">
        <v>21.6</v>
      </c>
      <c r="V22" s="60">
        <v>46.1</v>
      </c>
      <c r="W22" s="60">
        <v>45.8</v>
      </c>
      <c r="X22" s="60">
        <v>28.7</v>
      </c>
      <c r="Y22" s="60">
        <v>16.399999999999999</v>
      </c>
      <c r="Z22" s="60">
        <v>16.399999999999999</v>
      </c>
      <c r="AA22" s="47">
        <v>115.7</v>
      </c>
      <c r="AB22" s="60">
        <v>96.4</v>
      </c>
      <c r="AC22" s="47">
        <v>96.6</v>
      </c>
      <c r="AD22" s="47">
        <v>10.4</v>
      </c>
      <c r="AE22" s="60">
        <v>9.8000000000000007</v>
      </c>
      <c r="AF22" s="60">
        <v>10.7</v>
      </c>
      <c r="AG22" s="61">
        <v>35.099999999999994</v>
      </c>
      <c r="AH22" s="61">
        <v>46.9</v>
      </c>
      <c r="AI22" s="61">
        <v>47.6</v>
      </c>
      <c r="AJ22" s="61">
        <v>45.9</v>
      </c>
      <c r="AK22" s="61">
        <v>60.6</v>
      </c>
      <c r="AL22" s="61">
        <v>63.2</v>
      </c>
      <c r="AM22" s="62">
        <v>1.1399999999999999</v>
      </c>
      <c r="AN22" s="62">
        <v>1.36</v>
      </c>
      <c r="AO22" s="62">
        <v>1.36</v>
      </c>
      <c r="AP22" s="47">
        <v>25.7</v>
      </c>
      <c r="AQ22" s="47">
        <v>22.4</v>
      </c>
      <c r="AR22" s="47">
        <v>22.1</v>
      </c>
      <c r="AS22" s="47">
        <v>71.900000000000006</v>
      </c>
      <c r="AT22" s="60">
        <v>56</v>
      </c>
      <c r="AU22" s="64">
        <v>53.8</v>
      </c>
      <c r="AV22" s="47">
        <v>25</v>
      </c>
      <c r="AW22" s="60">
        <v>29.5</v>
      </c>
      <c r="AX22" s="64">
        <v>30.7</v>
      </c>
      <c r="AY22" s="47">
        <v>1.9</v>
      </c>
      <c r="AZ22" s="60">
        <v>8.1999999999999993</v>
      </c>
      <c r="BA22" s="32">
        <v>9.3000000000000007</v>
      </c>
      <c r="BE22" s="47">
        <v>0</v>
      </c>
      <c r="BF22" s="60">
        <v>0.5</v>
      </c>
      <c r="BG22" s="32">
        <v>0.7</v>
      </c>
      <c r="BH22" s="32">
        <v>96.2</v>
      </c>
      <c r="BI22" s="32">
        <v>88.6</v>
      </c>
      <c r="BJ22" s="32">
        <v>87.4</v>
      </c>
      <c r="BK22" s="32">
        <v>65.900000000000006</v>
      </c>
      <c r="BL22" s="32">
        <v>84.9</v>
      </c>
      <c r="BM22" s="32">
        <v>85.4</v>
      </c>
      <c r="BN22" s="47">
        <v>66.7</v>
      </c>
      <c r="BO22" s="32">
        <v>76.2</v>
      </c>
      <c r="BP22" s="32">
        <v>77</v>
      </c>
      <c r="BQ22" s="32">
        <v>84.8</v>
      </c>
      <c r="BR22" s="32">
        <v>86.3</v>
      </c>
      <c r="BS22" s="32">
        <v>86.3</v>
      </c>
      <c r="BT22" s="47">
        <v>-9.8314606741572987</v>
      </c>
      <c r="BU22" s="32">
        <v>-6.3</v>
      </c>
      <c r="BV22" s="32">
        <v>-5.9</v>
      </c>
      <c r="BW22" s="32">
        <v>10.5</v>
      </c>
      <c r="BX22" s="32">
        <v>9.1</v>
      </c>
      <c r="BY22" s="32">
        <v>8.9</v>
      </c>
      <c r="BZ22" s="63">
        <v>15.3</v>
      </c>
      <c r="CA22" s="63">
        <v>15.946999999999999</v>
      </c>
      <c r="CB22" s="63">
        <v>15.5</v>
      </c>
      <c r="CC22" s="32">
        <v>15.2</v>
      </c>
      <c r="CD22" s="32">
        <v>14.8</v>
      </c>
      <c r="CE22" s="32">
        <v>14.7</v>
      </c>
      <c r="CF22" s="32"/>
      <c r="CG22" s="32"/>
      <c r="CH22" s="32"/>
      <c r="CI22" s="32"/>
      <c r="CK22" s="33"/>
      <c r="CL22" s="32">
        <v>93.4</v>
      </c>
      <c r="CM22" s="32">
        <v>82.6</v>
      </c>
      <c r="CN22" s="32">
        <v>75.599999999999994</v>
      </c>
      <c r="CO22" s="32">
        <v>7.9</v>
      </c>
      <c r="CP22" s="32">
        <v>5.2</v>
      </c>
      <c r="CQ22" s="32">
        <v>5.3</v>
      </c>
      <c r="CR22" s="64">
        <v>47.3</v>
      </c>
      <c r="CS22" s="64">
        <v>42.5</v>
      </c>
      <c r="CT22" s="64">
        <v>42.9</v>
      </c>
      <c r="CU22" s="32" t="str">
        <f t="shared" si="0"/>
        <v>9830356V</v>
      </c>
      <c r="CV22" s="47">
        <v>17.682926829268293</v>
      </c>
      <c r="CW22" s="47">
        <v>35.323259846420605</v>
      </c>
      <c r="CX22" s="47">
        <v>37.207235798159317</v>
      </c>
      <c r="DA22" s="68"/>
    </row>
    <row r="23" spans="1:105" x14ac:dyDescent="0.2">
      <c r="A23" s="30" t="s">
        <v>249</v>
      </c>
      <c r="B23" s="30" t="s">
        <v>71</v>
      </c>
      <c r="C23" s="30" t="s">
        <v>27</v>
      </c>
      <c r="D23" s="30" t="s">
        <v>127</v>
      </c>
      <c r="E23" s="30" t="s">
        <v>112</v>
      </c>
      <c r="F23" s="31">
        <v>323</v>
      </c>
      <c r="G23" s="31">
        <v>45</v>
      </c>
      <c r="H23" s="31">
        <v>11</v>
      </c>
      <c r="I23" s="31">
        <v>262</v>
      </c>
      <c r="J23" s="31">
        <v>44</v>
      </c>
      <c r="K23" s="31" t="s">
        <v>10</v>
      </c>
      <c r="L23" s="31">
        <v>222</v>
      </c>
      <c r="M23" s="33">
        <v>44</v>
      </c>
      <c r="N23" s="33" t="s">
        <v>10</v>
      </c>
      <c r="O23" s="31">
        <v>223</v>
      </c>
      <c r="P23" s="33">
        <v>47</v>
      </c>
      <c r="Q23" s="33" t="s">
        <v>10</v>
      </c>
      <c r="R23" s="47">
        <v>123.1</v>
      </c>
      <c r="S23" s="60">
        <v>121</v>
      </c>
      <c r="T23" s="60">
        <v>127</v>
      </c>
      <c r="U23" s="60">
        <v>58.1</v>
      </c>
      <c r="V23" s="60">
        <v>46.1</v>
      </c>
      <c r="W23" s="60">
        <v>45.8</v>
      </c>
      <c r="X23" s="60">
        <v>7.5</v>
      </c>
      <c r="Y23" s="60">
        <v>16.399999999999999</v>
      </c>
      <c r="Z23" s="60">
        <v>16.399999999999999</v>
      </c>
      <c r="AA23" s="47">
        <v>79.8</v>
      </c>
      <c r="AB23" s="60">
        <v>96.4</v>
      </c>
      <c r="AC23" s="47">
        <v>96.6</v>
      </c>
      <c r="AD23" s="47">
        <v>2</v>
      </c>
      <c r="AE23" s="60">
        <v>9.8000000000000007</v>
      </c>
      <c r="AF23" s="60">
        <v>10.7</v>
      </c>
      <c r="AG23" s="61">
        <v>45.6</v>
      </c>
      <c r="AH23" s="61">
        <v>46.9</v>
      </c>
      <c r="AI23" s="61">
        <v>47.6</v>
      </c>
      <c r="AJ23" s="61">
        <v>68.400000000000006</v>
      </c>
      <c r="AK23" s="61">
        <v>60.6</v>
      </c>
      <c r="AL23" s="61">
        <v>63.2</v>
      </c>
      <c r="AM23" s="62">
        <v>2.0499999999999998</v>
      </c>
      <c r="AN23" s="62">
        <v>1.36</v>
      </c>
      <c r="AO23" s="62">
        <v>1.36</v>
      </c>
      <c r="AP23" s="47">
        <v>17.8</v>
      </c>
      <c r="AQ23" s="47">
        <v>22.4</v>
      </c>
      <c r="AR23" s="47">
        <v>22.1</v>
      </c>
      <c r="AS23" s="47">
        <v>59.8</v>
      </c>
      <c r="AT23" s="60">
        <v>56</v>
      </c>
      <c r="AU23" s="64">
        <v>53.8</v>
      </c>
      <c r="AV23" s="47">
        <v>33.299999999999997</v>
      </c>
      <c r="AW23" s="60">
        <v>29.5</v>
      </c>
      <c r="AX23" s="64">
        <v>30.7</v>
      </c>
      <c r="AY23" s="47">
        <v>0</v>
      </c>
      <c r="AZ23" s="60">
        <v>8.1999999999999993</v>
      </c>
      <c r="BA23" s="32">
        <v>9.3000000000000007</v>
      </c>
      <c r="BE23" s="47">
        <v>1.1000000000000001</v>
      </c>
      <c r="BF23" s="60">
        <v>0.5</v>
      </c>
      <c r="BG23" s="32">
        <v>0.7</v>
      </c>
      <c r="BH23" s="32">
        <v>73.7</v>
      </c>
      <c r="BI23" s="32">
        <v>88.6</v>
      </c>
      <c r="BJ23" s="32">
        <v>87.4</v>
      </c>
      <c r="BK23" s="32">
        <v>89.7</v>
      </c>
      <c r="BL23" s="32">
        <v>84.9</v>
      </c>
      <c r="BM23" s="32">
        <v>85.4</v>
      </c>
      <c r="BN23" s="47">
        <v>100</v>
      </c>
      <c r="BO23" s="32">
        <v>76.2</v>
      </c>
      <c r="BP23" s="32">
        <v>77</v>
      </c>
      <c r="BQ23" s="32">
        <v>91.8</v>
      </c>
      <c r="BR23" s="32">
        <v>86.3</v>
      </c>
      <c r="BS23" s="32">
        <v>86.3</v>
      </c>
      <c r="BT23" s="47">
        <v>-6.1224489795918515</v>
      </c>
      <c r="BU23" s="32">
        <v>-6.3</v>
      </c>
      <c r="BV23" s="32">
        <v>-5.9</v>
      </c>
      <c r="BW23" s="32">
        <v>8.8000000000000007</v>
      </c>
      <c r="BX23" s="32">
        <v>9.1</v>
      </c>
      <c r="BY23" s="32">
        <v>8.9</v>
      </c>
      <c r="BZ23" s="63">
        <v>13.5</v>
      </c>
      <c r="CA23" s="63">
        <v>15.946999999999999</v>
      </c>
      <c r="CB23" s="63">
        <v>15.5</v>
      </c>
      <c r="CC23" s="32">
        <v>14.7</v>
      </c>
      <c r="CD23" s="32">
        <v>14.8</v>
      </c>
      <c r="CE23" s="32">
        <v>14.7</v>
      </c>
      <c r="CF23" s="32"/>
      <c r="CG23" s="32"/>
      <c r="CH23" s="32"/>
      <c r="CI23" s="32"/>
      <c r="CK23" s="33"/>
      <c r="CL23" s="32">
        <v>73.8</v>
      </c>
      <c r="CM23" s="32">
        <v>82.6</v>
      </c>
      <c r="CN23" s="32">
        <v>75.599999999999994</v>
      </c>
      <c r="CO23" s="32">
        <v>5.2</v>
      </c>
      <c r="CP23" s="32">
        <v>5.2</v>
      </c>
      <c r="CQ23" s="32">
        <v>5.3</v>
      </c>
      <c r="CR23" s="64">
        <v>42.1</v>
      </c>
      <c r="CS23" s="64">
        <v>42.5</v>
      </c>
      <c r="CT23" s="64">
        <v>42.9</v>
      </c>
      <c r="CU23" s="32" t="str">
        <f t="shared" si="0"/>
        <v>9830357W</v>
      </c>
      <c r="CV23" s="47">
        <v>80.630630630630634</v>
      </c>
      <c r="CW23" s="47">
        <v>35.323259846420605</v>
      </c>
      <c r="CX23" s="47">
        <v>37.207235798159317</v>
      </c>
      <c r="DA23" s="68"/>
    </row>
    <row r="24" spans="1:105" x14ac:dyDescent="0.2">
      <c r="A24" s="30" t="s">
        <v>159</v>
      </c>
      <c r="B24" s="30" t="s">
        <v>72</v>
      </c>
      <c r="C24" s="30" t="s">
        <v>104</v>
      </c>
      <c r="D24" s="30" t="s">
        <v>115</v>
      </c>
      <c r="E24" s="30" t="s">
        <v>113</v>
      </c>
      <c r="F24" s="31">
        <v>189</v>
      </c>
      <c r="G24" s="31" t="s">
        <v>10</v>
      </c>
      <c r="H24" s="31" t="s">
        <v>10</v>
      </c>
      <c r="I24" s="31">
        <v>197</v>
      </c>
      <c r="J24" s="31" t="s">
        <v>10</v>
      </c>
      <c r="K24" s="31" t="s">
        <v>10</v>
      </c>
      <c r="L24" s="31">
        <v>193</v>
      </c>
      <c r="M24" s="33" t="s">
        <v>10</v>
      </c>
      <c r="N24" s="33" t="s">
        <v>10</v>
      </c>
      <c r="O24" s="31">
        <v>187</v>
      </c>
      <c r="P24" s="33" t="s">
        <v>10</v>
      </c>
      <c r="Q24" s="33" t="s">
        <v>10</v>
      </c>
      <c r="R24" s="47">
        <v>116.5</v>
      </c>
      <c r="S24" s="60">
        <v>136.80000000000001</v>
      </c>
      <c r="T24" s="60">
        <v>127</v>
      </c>
      <c r="U24" s="60">
        <v>35</v>
      </c>
      <c r="V24" s="60">
        <v>44.7</v>
      </c>
      <c r="W24" s="60">
        <v>45.8</v>
      </c>
      <c r="X24" s="60">
        <v>20.2</v>
      </c>
      <c r="Y24" s="60">
        <v>16.3</v>
      </c>
      <c r="Z24" s="60">
        <v>16.399999999999999</v>
      </c>
      <c r="AA24" s="47">
        <v>103.4</v>
      </c>
      <c r="AB24" s="60">
        <v>97.3</v>
      </c>
      <c r="AC24" s="47">
        <v>96.6</v>
      </c>
      <c r="AD24" s="47">
        <v>6</v>
      </c>
      <c r="AE24" s="60">
        <v>13.8</v>
      </c>
      <c r="AF24" s="60">
        <v>10.7</v>
      </c>
      <c r="AG24" s="61">
        <v>28.299999999999997</v>
      </c>
      <c r="AH24" s="61">
        <v>49.9</v>
      </c>
      <c r="AI24" s="61">
        <v>47.6</v>
      </c>
      <c r="AJ24" s="61">
        <v>62.5</v>
      </c>
      <c r="AK24" s="61">
        <v>72.099999999999994</v>
      </c>
      <c r="AL24" s="61">
        <v>63.2</v>
      </c>
      <c r="AM24" s="62">
        <v>1.22</v>
      </c>
      <c r="AN24" s="62">
        <v>1.38</v>
      </c>
      <c r="AO24" s="62">
        <v>1.36</v>
      </c>
      <c r="AP24" s="47">
        <v>24.1</v>
      </c>
      <c r="AQ24" s="47">
        <v>21.2</v>
      </c>
      <c r="AR24" s="47">
        <v>22.1</v>
      </c>
      <c r="AS24" s="47">
        <v>45.5</v>
      </c>
      <c r="AT24" s="60">
        <v>46.4</v>
      </c>
      <c r="AU24" s="64">
        <v>53.8</v>
      </c>
      <c r="AV24" s="47">
        <v>27.3</v>
      </c>
      <c r="AW24" s="60">
        <v>34.4</v>
      </c>
      <c r="AX24" s="64">
        <v>30.7</v>
      </c>
      <c r="AY24" s="47">
        <v>22.7</v>
      </c>
      <c r="AZ24" s="60">
        <v>12.8</v>
      </c>
      <c r="BA24" s="32">
        <v>9.3000000000000007</v>
      </c>
      <c r="BE24" s="47">
        <v>0</v>
      </c>
      <c r="BF24" s="60">
        <v>1.2</v>
      </c>
      <c r="BG24" s="32">
        <v>0.7</v>
      </c>
      <c r="BH24" s="32">
        <v>81.3</v>
      </c>
      <c r="BI24" s="32">
        <v>82.4</v>
      </c>
      <c r="BJ24" s="32">
        <v>87.4</v>
      </c>
      <c r="BK24" s="32">
        <v>88.2</v>
      </c>
      <c r="BL24" s="32">
        <v>86.8</v>
      </c>
      <c r="BM24" s="32">
        <v>85.4</v>
      </c>
      <c r="BN24" s="47">
        <v>100</v>
      </c>
      <c r="BO24" s="32">
        <v>78.5</v>
      </c>
      <c r="BP24" s="32">
        <v>77</v>
      </c>
      <c r="BQ24" s="32">
        <v>84.8</v>
      </c>
      <c r="BR24" s="32">
        <v>86.5</v>
      </c>
      <c r="BS24" s="32">
        <v>86.3</v>
      </c>
      <c r="BT24" s="47">
        <v>-23.244147157190632</v>
      </c>
      <c r="BU24" s="32">
        <v>-4.5</v>
      </c>
      <c r="BV24" s="32">
        <v>-5.9</v>
      </c>
      <c r="BW24" s="32">
        <v>10</v>
      </c>
      <c r="BX24" s="32">
        <v>8.1</v>
      </c>
      <c r="BY24" s="32">
        <v>8.9</v>
      </c>
      <c r="BZ24" s="63">
        <v>16.600000000000001</v>
      </c>
      <c r="CA24" s="63">
        <v>16.100000000000001</v>
      </c>
      <c r="CB24" s="63">
        <v>15.5</v>
      </c>
      <c r="CC24" s="32">
        <v>15.5</v>
      </c>
      <c r="CD24" s="32">
        <v>14.4</v>
      </c>
      <c r="CE24" s="32">
        <v>14.7</v>
      </c>
      <c r="CF24" s="32"/>
      <c r="CG24" s="32"/>
      <c r="CH24" s="32"/>
      <c r="CI24" s="61"/>
      <c r="CJ24" s="33"/>
      <c r="CK24" s="33"/>
      <c r="CL24" s="32">
        <v>60</v>
      </c>
      <c r="CM24" s="32">
        <v>51.7</v>
      </c>
      <c r="CN24" s="32">
        <v>75.599999999999994</v>
      </c>
      <c r="CO24" s="32">
        <v>6.5</v>
      </c>
      <c r="CP24" s="32">
        <v>5.6</v>
      </c>
      <c r="CQ24" s="32">
        <v>5.3</v>
      </c>
      <c r="CR24" s="64">
        <v>44.6</v>
      </c>
      <c r="CS24" s="64">
        <v>44.2</v>
      </c>
      <c r="CT24" s="64">
        <v>42.9</v>
      </c>
      <c r="CU24" s="32" t="str">
        <f t="shared" si="0"/>
        <v>9830381X</v>
      </c>
      <c r="CV24" s="47">
        <v>30.569948186528496</v>
      </c>
      <c r="CW24" s="47">
        <v>43.468715697036224</v>
      </c>
      <c r="CX24" s="47">
        <v>37.207235798159317</v>
      </c>
      <c r="DA24" s="68"/>
    </row>
    <row r="25" spans="1:105" x14ac:dyDescent="0.2">
      <c r="A25" s="30" t="s">
        <v>160</v>
      </c>
      <c r="B25" s="30" t="s">
        <v>73</v>
      </c>
      <c r="C25" s="30" t="s">
        <v>104</v>
      </c>
      <c r="D25" s="30" t="s">
        <v>114</v>
      </c>
      <c r="E25" s="30" t="s">
        <v>113</v>
      </c>
      <c r="F25" s="31">
        <v>197</v>
      </c>
      <c r="G25" s="31" t="s">
        <v>10</v>
      </c>
      <c r="H25" s="31" t="s">
        <v>10</v>
      </c>
      <c r="I25" s="31">
        <v>112</v>
      </c>
      <c r="J25" s="31" t="s">
        <v>10</v>
      </c>
      <c r="K25" s="31" t="s">
        <v>10</v>
      </c>
      <c r="L25" s="31">
        <v>112</v>
      </c>
      <c r="M25" s="33" t="s">
        <v>10</v>
      </c>
      <c r="N25" s="33" t="s">
        <v>10</v>
      </c>
      <c r="O25" s="31">
        <v>97</v>
      </c>
      <c r="P25" s="33" t="s">
        <v>10</v>
      </c>
      <c r="Q25" s="33" t="s">
        <v>10</v>
      </c>
      <c r="R25" s="47">
        <v>122.7</v>
      </c>
      <c r="S25" s="60">
        <v>136.80000000000001</v>
      </c>
      <c r="T25" s="60">
        <v>127</v>
      </c>
      <c r="U25" s="60">
        <v>71.3</v>
      </c>
      <c r="V25" s="60">
        <v>44.7</v>
      </c>
      <c r="W25" s="60">
        <v>45.8</v>
      </c>
      <c r="X25" s="60">
        <v>3.4</v>
      </c>
      <c r="Y25" s="60">
        <v>16.3</v>
      </c>
      <c r="Z25" s="60">
        <v>16.399999999999999</v>
      </c>
      <c r="AA25" s="47">
        <v>84.5</v>
      </c>
      <c r="AB25" s="60">
        <v>97.3</v>
      </c>
      <c r="AC25" s="47">
        <v>96.6</v>
      </c>
      <c r="AD25" s="47">
        <v>30.8</v>
      </c>
      <c r="AE25" s="60">
        <v>13.8</v>
      </c>
      <c r="AF25" s="60">
        <v>10.7</v>
      </c>
      <c r="AG25" s="61">
        <v>69.2</v>
      </c>
      <c r="AH25" s="61">
        <v>49.9</v>
      </c>
      <c r="AI25" s="61">
        <v>47.6</v>
      </c>
      <c r="AJ25" s="61">
        <v>92.3</v>
      </c>
      <c r="AK25" s="61">
        <v>72.099999999999994</v>
      </c>
      <c r="AL25" s="61">
        <v>63.2</v>
      </c>
      <c r="AM25" s="62">
        <v>1.83</v>
      </c>
      <c r="AN25" s="62">
        <v>1.38</v>
      </c>
      <c r="AO25" s="62">
        <v>1.36</v>
      </c>
      <c r="AP25" s="47">
        <v>16</v>
      </c>
      <c r="AQ25" s="47">
        <v>21.2</v>
      </c>
      <c r="AR25" s="47">
        <v>22.1</v>
      </c>
      <c r="AS25" s="47">
        <v>19</v>
      </c>
      <c r="AT25" s="60">
        <v>46.4</v>
      </c>
      <c r="AU25" s="64">
        <v>53.8</v>
      </c>
      <c r="AV25" s="47">
        <v>23.8</v>
      </c>
      <c r="AW25" s="60">
        <v>34.4</v>
      </c>
      <c r="AX25" s="64">
        <v>30.7</v>
      </c>
      <c r="AY25" s="47">
        <v>38.1</v>
      </c>
      <c r="AZ25" s="60">
        <v>12.8</v>
      </c>
      <c r="BA25" s="32">
        <v>9.3000000000000007</v>
      </c>
      <c r="BE25" s="47">
        <v>0</v>
      </c>
      <c r="BF25" s="60">
        <v>1.2</v>
      </c>
      <c r="BG25" s="32">
        <v>0.7</v>
      </c>
      <c r="BH25" s="32">
        <v>54.5</v>
      </c>
      <c r="BI25" s="32">
        <v>82.4</v>
      </c>
      <c r="BJ25" s="32">
        <v>87.4</v>
      </c>
      <c r="BK25" s="32">
        <v>100</v>
      </c>
      <c r="BL25" s="32">
        <v>86.8</v>
      </c>
      <c r="BM25" s="32">
        <v>85.4</v>
      </c>
      <c r="BN25" s="47">
        <v>92.3</v>
      </c>
      <c r="BO25" s="32">
        <v>78.5</v>
      </c>
      <c r="BP25" s="32">
        <v>77</v>
      </c>
      <c r="BQ25" s="32">
        <v>67.900000000000006</v>
      </c>
      <c r="BR25" s="32">
        <v>86.5</v>
      </c>
      <c r="BS25" s="32">
        <v>86.3</v>
      </c>
      <c r="BT25" s="47">
        <v>5.8270676691729193</v>
      </c>
      <c r="BU25" s="32">
        <v>-4.5</v>
      </c>
      <c r="BV25" s="32">
        <v>-5.9</v>
      </c>
      <c r="BW25" s="32">
        <v>6.1</v>
      </c>
      <c r="BX25" s="32">
        <v>8.1</v>
      </c>
      <c r="BY25" s="32">
        <v>8.9</v>
      </c>
      <c r="BZ25" s="63">
        <v>14.2</v>
      </c>
      <c r="CA25" s="63">
        <v>16.100000000000001</v>
      </c>
      <c r="CB25" s="63">
        <v>15.5</v>
      </c>
      <c r="CC25" s="32">
        <v>14</v>
      </c>
      <c r="CD25" s="32">
        <v>14.4</v>
      </c>
      <c r="CE25" s="32">
        <v>14.7</v>
      </c>
      <c r="CF25" s="32"/>
      <c r="CG25" s="32"/>
      <c r="CH25" s="32"/>
      <c r="CI25" s="61"/>
      <c r="CJ25" s="33"/>
      <c r="CK25" s="33"/>
      <c r="CL25" s="32">
        <v>40.200000000000003</v>
      </c>
      <c r="CM25" s="32">
        <v>51.7</v>
      </c>
      <c r="CN25" s="32">
        <v>75.599999999999994</v>
      </c>
      <c r="CO25" s="32">
        <v>2.8</v>
      </c>
      <c r="CP25" s="32">
        <v>5.6</v>
      </c>
      <c r="CQ25" s="32">
        <v>5.3</v>
      </c>
      <c r="CR25" s="64">
        <v>39.1</v>
      </c>
      <c r="CS25" s="64">
        <v>44.2</v>
      </c>
      <c r="CT25" s="64">
        <v>42.9</v>
      </c>
      <c r="CU25" s="32" t="str">
        <f t="shared" si="0"/>
        <v>9830382Y</v>
      </c>
      <c r="CV25" s="47">
        <v>61.607142857142861</v>
      </c>
      <c r="CW25" s="47">
        <v>43.468715697036224</v>
      </c>
      <c r="CX25" s="47">
        <v>37.207235798159317</v>
      </c>
      <c r="DA25" s="68"/>
    </row>
    <row r="26" spans="1:105" x14ac:dyDescent="0.2">
      <c r="A26" s="30" t="s">
        <v>161</v>
      </c>
      <c r="B26" s="30" t="s">
        <v>74</v>
      </c>
      <c r="C26" s="30" t="s">
        <v>27</v>
      </c>
      <c r="D26" s="30" t="s">
        <v>116</v>
      </c>
      <c r="E26" s="30" t="s">
        <v>112</v>
      </c>
      <c r="F26" s="31">
        <v>752</v>
      </c>
      <c r="G26" s="31">
        <v>67</v>
      </c>
      <c r="H26" s="31" t="s">
        <v>10</v>
      </c>
      <c r="I26" s="31">
        <v>606</v>
      </c>
      <c r="J26" s="31">
        <v>55</v>
      </c>
      <c r="K26" s="31" t="s">
        <v>10</v>
      </c>
      <c r="L26" s="31">
        <v>596</v>
      </c>
      <c r="M26" s="33">
        <v>56</v>
      </c>
      <c r="N26" s="33" t="s">
        <v>10</v>
      </c>
      <c r="O26" s="31">
        <v>609</v>
      </c>
      <c r="P26" s="33">
        <v>55</v>
      </c>
      <c r="Q26" s="33" t="s">
        <v>10</v>
      </c>
      <c r="R26" s="47">
        <v>98.2</v>
      </c>
      <c r="S26" s="60">
        <v>121</v>
      </c>
      <c r="T26" s="60">
        <v>127</v>
      </c>
      <c r="U26" s="60">
        <v>45.2</v>
      </c>
      <c r="V26" s="60">
        <v>46.1</v>
      </c>
      <c r="W26" s="60">
        <v>45.8</v>
      </c>
      <c r="X26" s="60">
        <v>16</v>
      </c>
      <c r="Y26" s="60">
        <v>16.399999999999999</v>
      </c>
      <c r="Z26" s="60">
        <v>16.399999999999999</v>
      </c>
      <c r="AA26" s="47">
        <v>94.8</v>
      </c>
      <c r="AB26" s="60">
        <v>96.4</v>
      </c>
      <c r="AC26" s="47">
        <v>96.6</v>
      </c>
      <c r="AD26" s="47">
        <v>8.8000000000000007</v>
      </c>
      <c r="AE26" s="60">
        <v>9.8000000000000007</v>
      </c>
      <c r="AF26" s="60">
        <v>10.7</v>
      </c>
      <c r="AG26" s="61">
        <v>48</v>
      </c>
      <c r="AH26" s="61">
        <v>46.9</v>
      </c>
      <c r="AI26" s="61">
        <v>47.6</v>
      </c>
      <c r="AJ26" s="61">
        <v>71.8</v>
      </c>
      <c r="AK26" s="61">
        <v>60.6</v>
      </c>
      <c r="AL26" s="61">
        <v>63.2</v>
      </c>
      <c r="AM26" s="62">
        <v>1.46</v>
      </c>
      <c r="AN26" s="62">
        <v>1.36</v>
      </c>
      <c r="AO26" s="62">
        <v>1.36</v>
      </c>
      <c r="AP26" s="47">
        <v>22.1</v>
      </c>
      <c r="AQ26" s="47">
        <v>22.4</v>
      </c>
      <c r="AR26" s="47">
        <v>22.1</v>
      </c>
      <c r="AS26" s="47">
        <v>50.3</v>
      </c>
      <c r="AT26" s="60">
        <v>56</v>
      </c>
      <c r="AU26" s="64">
        <v>53.8</v>
      </c>
      <c r="AV26" s="47">
        <v>33.1</v>
      </c>
      <c r="AW26" s="60">
        <v>29.5</v>
      </c>
      <c r="AX26" s="64">
        <v>30.7</v>
      </c>
      <c r="AY26" s="47">
        <v>10.6</v>
      </c>
      <c r="AZ26" s="60">
        <v>8.1999999999999993</v>
      </c>
      <c r="BA26" s="32">
        <v>9.3000000000000007</v>
      </c>
      <c r="BE26" s="47">
        <v>0.7</v>
      </c>
      <c r="BF26" s="60">
        <v>0.5</v>
      </c>
      <c r="BG26" s="32">
        <v>0.7</v>
      </c>
      <c r="BH26" s="32">
        <v>87.4</v>
      </c>
      <c r="BI26" s="32">
        <v>88.6</v>
      </c>
      <c r="BJ26" s="32">
        <v>87.4</v>
      </c>
      <c r="BK26" s="32">
        <v>72.5</v>
      </c>
      <c r="BL26" s="32">
        <v>84.9</v>
      </c>
      <c r="BM26" s="32">
        <v>85.4</v>
      </c>
      <c r="BN26" s="47">
        <v>100</v>
      </c>
      <c r="BO26" s="32">
        <v>76.2</v>
      </c>
      <c r="BP26" s="32">
        <v>77</v>
      </c>
      <c r="BQ26" s="32">
        <v>81.2</v>
      </c>
      <c r="BR26" s="32">
        <v>86.3</v>
      </c>
      <c r="BS26" s="32">
        <v>86.3</v>
      </c>
      <c r="BT26" s="47">
        <v>-3.3816425120772919</v>
      </c>
      <c r="BU26" s="32">
        <v>-6.3</v>
      </c>
      <c r="BV26" s="32">
        <v>-5.9</v>
      </c>
      <c r="BW26" s="32">
        <v>8.1</v>
      </c>
      <c r="BX26" s="32">
        <v>9.1</v>
      </c>
      <c r="BY26" s="32">
        <v>8.9</v>
      </c>
      <c r="BZ26" s="63">
        <v>15.6</v>
      </c>
      <c r="CA26" s="63">
        <v>15.946999999999999</v>
      </c>
      <c r="CB26" s="63">
        <v>15.5</v>
      </c>
      <c r="CC26" s="32">
        <v>13.9</v>
      </c>
      <c r="CD26" s="32">
        <v>14.8</v>
      </c>
      <c r="CE26" s="32">
        <v>14.7</v>
      </c>
      <c r="CF26" s="32"/>
      <c r="CG26" s="32"/>
      <c r="CH26" s="32"/>
      <c r="CI26" s="32"/>
      <c r="CK26" s="33"/>
      <c r="CL26" s="32">
        <v>85.8</v>
      </c>
      <c r="CM26" s="32">
        <v>82.6</v>
      </c>
      <c r="CN26" s="32">
        <v>75.599999999999994</v>
      </c>
      <c r="CO26" s="32">
        <v>7.1</v>
      </c>
      <c r="CP26" s="32">
        <v>5.2</v>
      </c>
      <c r="CQ26" s="32">
        <v>5.3</v>
      </c>
      <c r="CR26" s="64">
        <v>44.9</v>
      </c>
      <c r="CS26" s="64">
        <v>42.5</v>
      </c>
      <c r="CT26" s="64">
        <v>42.9</v>
      </c>
      <c r="CU26" s="32" t="str">
        <f t="shared" si="0"/>
        <v>9830384A</v>
      </c>
      <c r="CV26" s="47">
        <v>36.073825503355707</v>
      </c>
      <c r="CW26" s="47">
        <v>35.323259846420605</v>
      </c>
      <c r="CX26" s="47">
        <v>37.207235798159317</v>
      </c>
      <c r="DA26" s="68"/>
    </row>
    <row r="27" spans="1:105" x14ac:dyDescent="0.2">
      <c r="A27" s="30" t="s">
        <v>162</v>
      </c>
      <c r="B27" s="30" t="s">
        <v>75</v>
      </c>
      <c r="C27" s="30" t="s">
        <v>104</v>
      </c>
      <c r="D27" s="30" t="s">
        <v>126</v>
      </c>
      <c r="E27" s="30" t="s">
        <v>113</v>
      </c>
      <c r="F27" s="31">
        <v>176</v>
      </c>
      <c r="G27" s="31" t="s">
        <v>10</v>
      </c>
      <c r="H27" s="31" t="s">
        <v>10</v>
      </c>
      <c r="I27" s="31">
        <v>151</v>
      </c>
      <c r="J27" s="31" t="s">
        <v>10</v>
      </c>
      <c r="K27" s="31" t="s">
        <v>10</v>
      </c>
      <c r="L27" s="31">
        <v>125</v>
      </c>
      <c r="M27" s="33" t="s">
        <v>10</v>
      </c>
      <c r="N27" s="33" t="s">
        <v>10</v>
      </c>
      <c r="O27" s="31">
        <v>115</v>
      </c>
      <c r="P27" s="33" t="s">
        <v>10</v>
      </c>
      <c r="Q27" s="33" t="s">
        <v>10</v>
      </c>
      <c r="R27" s="47">
        <v>167.1</v>
      </c>
      <c r="S27" s="60">
        <v>136.80000000000001</v>
      </c>
      <c r="T27" s="60">
        <v>127</v>
      </c>
      <c r="U27" s="60">
        <v>50.4</v>
      </c>
      <c r="V27" s="60">
        <v>44.7</v>
      </c>
      <c r="W27" s="60">
        <v>45.8</v>
      </c>
      <c r="X27" s="60">
        <v>16</v>
      </c>
      <c r="Y27" s="60">
        <v>16.3</v>
      </c>
      <c r="Z27" s="60">
        <v>16.399999999999999</v>
      </c>
      <c r="AA27" s="47">
        <v>95.8</v>
      </c>
      <c r="AB27" s="60">
        <v>97.3</v>
      </c>
      <c r="AC27" s="47">
        <v>96.6</v>
      </c>
      <c r="AD27" s="47">
        <v>16.100000000000001</v>
      </c>
      <c r="AE27" s="60">
        <v>13.8</v>
      </c>
      <c r="AF27" s="60">
        <v>10.7</v>
      </c>
      <c r="AG27" s="61">
        <v>80.599999999999994</v>
      </c>
      <c r="AH27" s="61">
        <v>49.9</v>
      </c>
      <c r="AI27" s="61">
        <v>47.6</v>
      </c>
      <c r="AJ27" s="61">
        <v>93.5</v>
      </c>
      <c r="AK27" s="61">
        <v>72.099999999999994</v>
      </c>
      <c r="AL27" s="61">
        <v>63.2</v>
      </c>
      <c r="AM27" s="62">
        <v>1.9</v>
      </c>
      <c r="AN27" s="62">
        <v>1.38</v>
      </c>
      <c r="AO27" s="62">
        <v>1.36</v>
      </c>
      <c r="AP27" s="47">
        <v>17.899999999999999</v>
      </c>
      <c r="AQ27" s="47">
        <v>21.2</v>
      </c>
      <c r="AR27" s="47">
        <v>22.1</v>
      </c>
      <c r="AS27" s="47">
        <v>45.7</v>
      </c>
      <c r="AT27" s="60">
        <v>46.4</v>
      </c>
      <c r="AU27" s="64">
        <v>53.8</v>
      </c>
      <c r="AV27" s="47">
        <v>26.1</v>
      </c>
      <c r="AW27" s="60">
        <v>34.4</v>
      </c>
      <c r="AX27" s="64">
        <v>30.7</v>
      </c>
      <c r="AY27" s="47">
        <v>23.9</v>
      </c>
      <c r="AZ27" s="60">
        <v>12.8</v>
      </c>
      <c r="BA27" s="32">
        <v>9.3000000000000007</v>
      </c>
      <c r="BE27" s="47">
        <v>0</v>
      </c>
      <c r="BF27" s="60">
        <v>1.2</v>
      </c>
      <c r="BG27" s="32">
        <v>0.7</v>
      </c>
      <c r="BH27" s="32">
        <v>72.2</v>
      </c>
      <c r="BI27" s="32">
        <v>82.4</v>
      </c>
      <c r="BJ27" s="32">
        <v>87.4</v>
      </c>
      <c r="BK27" s="32">
        <v>87</v>
      </c>
      <c r="BL27" s="32">
        <v>86.8</v>
      </c>
      <c r="BM27" s="32">
        <v>85.4</v>
      </c>
      <c r="BN27" s="47">
        <v>85.7</v>
      </c>
      <c r="BO27" s="32">
        <v>78.5</v>
      </c>
      <c r="BP27" s="32">
        <v>77</v>
      </c>
      <c r="BQ27" s="32">
        <v>92.1</v>
      </c>
      <c r="BR27" s="32">
        <v>86.5</v>
      </c>
      <c r="BS27" s="32">
        <v>86.3</v>
      </c>
      <c r="BT27" s="47">
        <v>2.0123839009287821</v>
      </c>
      <c r="BU27" s="32">
        <v>-4.5</v>
      </c>
      <c r="BV27" s="32">
        <v>-5.9</v>
      </c>
      <c r="BW27" s="32">
        <v>8.1</v>
      </c>
      <c r="BX27" s="32">
        <v>8.1</v>
      </c>
      <c r="BY27" s="32">
        <v>8.9</v>
      </c>
      <c r="BZ27" s="63">
        <v>16.600000000000001</v>
      </c>
      <c r="CA27" s="63">
        <v>16.100000000000001</v>
      </c>
      <c r="CB27" s="63">
        <v>15.5</v>
      </c>
      <c r="CC27" s="32">
        <v>12.8</v>
      </c>
      <c r="CD27" s="32">
        <v>14.4</v>
      </c>
      <c r="CE27" s="32">
        <v>14.7</v>
      </c>
      <c r="CF27" s="32"/>
      <c r="CG27" s="32"/>
      <c r="CH27" s="32"/>
      <c r="CI27" s="61"/>
      <c r="CJ27" s="33"/>
      <c r="CK27" s="33"/>
      <c r="CL27" s="32">
        <v>27.8</v>
      </c>
      <c r="CM27" s="32">
        <v>51.7</v>
      </c>
      <c r="CN27" s="32">
        <v>75.599999999999994</v>
      </c>
      <c r="CO27" s="32">
        <v>6.5</v>
      </c>
      <c r="CP27" s="32">
        <v>5.6</v>
      </c>
      <c r="CQ27" s="32">
        <v>5.3</v>
      </c>
      <c r="CR27" s="64">
        <v>40.4</v>
      </c>
      <c r="CS27" s="64">
        <v>44.2</v>
      </c>
      <c r="CT27" s="64">
        <v>42.9</v>
      </c>
      <c r="CU27" s="32" t="str">
        <f t="shared" si="0"/>
        <v>9830392J</v>
      </c>
      <c r="CV27" s="47">
        <v>83.2</v>
      </c>
      <c r="CW27" s="47">
        <v>43.468715697036224</v>
      </c>
      <c r="CX27" s="47">
        <v>37.207235798159317</v>
      </c>
      <c r="DA27" s="68"/>
    </row>
    <row r="28" spans="1:105" x14ac:dyDescent="0.2">
      <c r="A28" s="30" t="s">
        <v>163</v>
      </c>
      <c r="B28" s="30" t="s">
        <v>76</v>
      </c>
      <c r="C28" s="30" t="s">
        <v>104</v>
      </c>
      <c r="D28" s="30" t="s">
        <v>127</v>
      </c>
      <c r="E28" s="30" t="s">
        <v>113</v>
      </c>
      <c r="F28" s="31">
        <v>131</v>
      </c>
      <c r="G28" s="31" t="s">
        <v>10</v>
      </c>
      <c r="H28" s="31" t="s">
        <v>10</v>
      </c>
      <c r="I28" s="31">
        <v>78</v>
      </c>
      <c r="J28" s="31" t="s">
        <v>10</v>
      </c>
      <c r="K28" s="31" t="s">
        <v>10</v>
      </c>
      <c r="L28" s="31">
        <v>72</v>
      </c>
      <c r="M28" s="33" t="s">
        <v>10</v>
      </c>
      <c r="N28" s="33" t="s">
        <v>10</v>
      </c>
      <c r="O28" s="31">
        <v>71</v>
      </c>
      <c r="P28" s="33" t="s">
        <v>10</v>
      </c>
      <c r="Q28" s="33" t="s">
        <v>10</v>
      </c>
      <c r="R28" s="47">
        <v>135.69999999999999</v>
      </c>
      <c r="S28" s="60">
        <v>136.80000000000001</v>
      </c>
      <c r="T28" s="60">
        <v>127</v>
      </c>
      <c r="U28" s="60">
        <v>75</v>
      </c>
      <c r="V28" s="60">
        <v>44.7</v>
      </c>
      <c r="W28" s="60">
        <v>45.8</v>
      </c>
      <c r="X28" s="60">
        <v>8.3000000000000007</v>
      </c>
      <c r="Y28" s="60">
        <v>16.3</v>
      </c>
      <c r="Z28" s="60">
        <v>16.399999999999999</v>
      </c>
      <c r="AA28" s="47">
        <v>82.4</v>
      </c>
      <c r="AB28" s="60">
        <v>97.3</v>
      </c>
      <c r="AC28" s="47">
        <v>96.6</v>
      </c>
      <c r="AD28" s="47">
        <v>12.5</v>
      </c>
      <c r="AE28" s="60">
        <v>13.8</v>
      </c>
      <c r="AF28" s="60">
        <v>10.7</v>
      </c>
      <c r="AG28" s="61">
        <v>58.8</v>
      </c>
      <c r="AH28" s="61">
        <v>49.9</v>
      </c>
      <c r="AI28" s="61">
        <v>47.6</v>
      </c>
      <c r="AJ28" s="61">
        <v>88.2</v>
      </c>
      <c r="AK28" s="61">
        <v>72.099999999999994</v>
      </c>
      <c r="AL28" s="61">
        <v>63.2</v>
      </c>
      <c r="AM28" s="62">
        <v>1.63</v>
      </c>
      <c r="AN28" s="62">
        <v>1.38</v>
      </c>
      <c r="AO28" s="62">
        <v>1.36</v>
      </c>
      <c r="AP28" s="47">
        <v>18</v>
      </c>
      <c r="AQ28" s="47">
        <v>21.2</v>
      </c>
      <c r="AR28" s="47">
        <v>22.1</v>
      </c>
      <c r="AS28" s="47">
        <v>40.9</v>
      </c>
      <c r="AT28" s="60">
        <v>46.4</v>
      </c>
      <c r="AU28" s="64">
        <v>53.8</v>
      </c>
      <c r="AV28" s="47">
        <v>36.4</v>
      </c>
      <c r="AW28" s="60">
        <v>34.4</v>
      </c>
      <c r="AX28" s="64">
        <v>30.7</v>
      </c>
      <c r="AY28" s="47">
        <v>22.7</v>
      </c>
      <c r="AZ28" s="60">
        <v>12.8</v>
      </c>
      <c r="BA28" s="32">
        <v>9.3000000000000007</v>
      </c>
      <c r="BE28" s="47">
        <v>0</v>
      </c>
      <c r="BF28" s="60">
        <v>1.2</v>
      </c>
      <c r="BG28" s="32">
        <v>0.7</v>
      </c>
      <c r="BH28" s="32">
        <v>70</v>
      </c>
      <c r="BI28" s="32">
        <v>82.4</v>
      </c>
      <c r="BJ28" s="32">
        <v>87.4</v>
      </c>
      <c r="BK28" s="32">
        <v>71.400000000000006</v>
      </c>
      <c r="BL28" s="32">
        <v>86.8</v>
      </c>
      <c r="BM28" s="32">
        <v>85.4</v>
      </c>
      <c r="BN28" s="47">
        <v>85.7</v>
      </c>
      <c r="BO28" s="32">
        <v>78.5</v>
      </c>
      <c r="BP28" s="32">
        <v>77</v>
      </c>
      <c r="BQ28" s="32">
        <v>78.900000000000006</v>
      </c>
      <c r="BR28" s="32">
        <v>86.5</v>
      </c>
      <c r="BS28" s="32">
        <v>86.3</v>
      </c>
      <c r="BT28" s="47">
        <v>6.7669172932330781</v>
      </c>
      <c r="BU28" s="32">
        <v>-4.5</v>
      </c>
      <c r="BV28" s="32">
        <v>-5.9</v>
      </c>
      <c r="BW28" s="32">
        <v>5.7</v>
      </c>
      <c r="BX28" s="32">
        <v>8.1</v>
      </c>
      <c r="BY28" s="32">
        <v>8.9</v>
      </c>
      <c r="BZ28" s="63">
        <v>14.4</v>
      </c>
      <c r="CA28" s="63">
        <v>16.100000000000001</v>
      </c>
      <c r="CB28" s="63">
        <v>15.5</v>
      </c>
      <c r="CC28" s="32">
        <v>14.1</v>
      </c>
      <c r="CD28" s="32">
        <v>14.4</v>
      </c>
      <c r="CE28" s="32">
        <v>14.7</v>
      </c>
      <c r="CF28" s="32"/>
      <c r="CG28" s="32"/>
      <c r="CH28" s="32"/>
      <c r="CI28" s="61"/>
      <c r="CJ28" s="33"/>
      <c r="CK28" s="33"/>
      <c r="CL28" s="32">
        <v>35.799999999999997</v>
      </c>
      <c r="CM28" s="32">
        <v>51.7</v>
      </c>
      <c r="CN28" s="32">
        <v>75.599999999999994</v>
      </c>
      <c r="CO28" s="32">
        <v>5.8</v>
      </c>
      <c r="CP28" s="32">
        <v>5.6</v>
      </c>
      <c r="CQ28" s="32">
        <v>5.3</v>
      </c>
      <c r="CR28" s="64">
        <v>42.8</v>
      </c>
      <c r="CS28" s="64">
        <v>44.2</v>
      </c>
      <c r="CT28" s="64">
        <v>42.9</v>
      </c>
      <c r="CU28" s="32" t="str">
        <f t="shared" si="0"/>
        <v>9830400T</v>
      </c>
      <c r="CV28" s="47">
        <v>94.444444444444443</v>
      </c>
      <c r="CW28" s="47">
        <v>43.468715697036224</v>
      </c>
      <c r="CX28" s="47">
        <v>37.207235798159317</v>
      </c>
      <c r="DA28" s="68"/>
    </row>
    <row r="29" spans="1:105" x14ac:dyDescent="0.2">
      <c r="A29" s="30" t="s">
        <v>164</v>
      </c>
      <c r="B29" s="30" t="s">
        <v>77</v>
      </c>
      <c r="C29" s="30" t="s">
        <v>27</v>
      </c>
      <c r="D29" s="30" t="s">
        <v>126</v>
      </c>
      <c r="E29" s="30" t="s">
        <v>112</v>
      </c>
      <c r="F29" s="31">
        <v>192</v>
      </c>
      <c r="G29" s="31" t="s">
        <v>10</v>
      </c>
      <c r="H29" s="31" t="s">
        <v>10</v>
      </c>
      <c r="I29" s="31">
        <v>135</v>
      </c>
      <c r="J29" s="31" t="s">
        <v>10</v>
      </c>
      <c r="K29" s="31" t="s">
        <v>10</v>
      </c>
      <c r="L29" s="31">
        <v>140</v>
      </c>
      <c r="M29" s="33" t="s">
        <v>10</v>
      </c>
      <c r="N29" s="33" t="s">
        <v>10</v>
      </c>
      <c r="O29" s="31">
        <v>143</v>
      </c>
      <c r="P29" s="33" t="s">
        <v>10</v>
      </c>
      <c r="Q29" s="33" t="s">
        <v>10</v>
      </c>
      <c r="R29" s="47">
        <v>167.3</v>
      </c>
      <c r="S29" s="60">
        <v>121</v>
      </c>
      <c r="T29" s="60">
        <v>127</v>
      </c>
      <c r="U29" s="60">
        <v>62.6</v>
      </c>
      <c r="V29" s="60">
        <v>46.1</v>
      </c>
      <c r="W29" s="60">
        <v>45.8</v>
      </c>
      <c r="X29" s="60">
        <v>10.8</v>
      </c>
      <c r="Y29" s="60">
        <v>16.399999999999999</v>
      </c>
      <c r="Z29" s="60">
        <v>16.399999999999999</v>
      </c>
      <c r="AA29" s="47">
        <v>81.7</v>
      </c>
      <c r="AB29" s="60">
        <v>96.4</v>
      </c>
      <c r="AC29" s="47">
        <v>96.6</v>
      </c>
      <c r="AD29" s="47">
        <v>5.0999999999999996</v>
      </c>
      <c r="AE29" s="60">
        <v>9.8000000000000007</v>
      </c>
      <c r="AF29" s="60">
        <v>10.7</v>
      </c>
      <c r="AG29" s="61">
        <v>55</v>
      </c>
      <c r="AH29" s="61">
        <v>46.9</v>
      </c>
      <c r="AI29" s="61">
        <v>47.6</v>
      </c>
      <c r="AJ29" s="61">
        <v>80</v>
      </c>
      <c r="AK29" s="61">
        <v>60.6</v>
      </c>
      <c r="AL29" s="61">
        <v>63.2</v>
      </c>
      <c r="AM29" s="62">
        <v>1.64</v>
      </c>
      <c r="AN29" s="62">
        <v>1.36</v>
      </c>
      <c r="AO29" s="62">
        <v>1.36</v>
      </c>
      <c r="AP29" s="47">
        <v>18</v>
      </c>
      <c r="AQ29" s="47">
        <v>22.4</v>
      </c>
      <c r="AR29" s="47">
        <v>22.1</v>
      </c>
      <c r="AS29" s="47">
        <v>39.4</v>
      </c>
      <c r="AT29" s="60">
        <v>56</v>
      </c>
      <c r="AU29" s="64">
        <v>53.8</v>
      </c>
      <c r="AV29" s="47">
        <v>54.5</v>
      </c>
      <c r="AW29" s="60">
        <v>29.5</v>
      </c>
      <c r="AX29" s="64">
        <v>30.7</v>
      </c>
      <c r="AY29" s="47">
        <v>3</v>
      </c>
      <c r="AZ29" s="60">
        <v>8.1999999999999993</v>
      </c>
      <c r="BA29" s="32">
        <v>9.3000000000000007</v>
      </c>
      <c r="BE29" s="47">
        <v>0</v>
      </c>
      <c r="BF29" s="60">
        <v>0.5</v>
      </c>
      <c r="BG29" s="32">
        <v>0.7</v>
      </c>
      <c r="BH29" s="32">
        <v>93.3</v>
      </c>
      <c r="BI29" s="32">
        <v>88.6</v>
      </c>
      <c r="BJ29" s="32">
        <v>87.4</v>
      </c>
      <c r="BK29" s="32">
        <v>76.5</v>
      </c>
      <c r="BL29" s="32">
        <v>84.9</v>
      </c>
      <c r="BM29" s="32">
        <v>85.4</v>
      </c>
      <c r="BN29" s="47">
        <v>100</v>
      </c>
      <c r="BO29" s="32">
        <v>76.2</v>
      </c>
      <c r="BP29" s="32">
        <v>77</v>
      </c>
      <c r="BQ29" s="32">
        <v>92.3</v>
      </c>
      <c r="BR29" s="32">
        <v>86.3</v>
      </c>
      <c r="BS29" s="32">
        <v>86.3</v>
      </c>
      <c r="BT29" s="47">
        <v>2.1367521367521363</v>
      </c>
      <c r="BU29" s="32">
        <v>-6.3</v>
      </c>
      <c r="BV29" s="32">
        <v>-5.9</v>
      </c>
      <c r="BW29" s="32">
        <v>7.8</v>
      </c>
      <c r="BX29" s="32">
        <v>9.1</v>
      </c>
      <c r="BY29" s="32">
        <v>8.9</v>
      </c>
      <c r="BZ29" s="63">
        <v>16.5</v>
      </c>
      <c r="CA29" s="63">
        <v>15.946999999999999</v>
      </c>
      <c r="CB29" s="63">
        <v>15.5</v>
      </c>
      <c r="CC29" s="32">
        <v>13.8</v>
      </c>
      <c r="CD29" s="32">
        <v>14.8</v>
      </c>
      <c r="CE29" s="32">
        <v>14.7</v>
      </c>
      <c r="CF29" s="32"/>
      <c r="CG29" s="32"/>
      <c r="CH29" s="32"/>
      <c r="CI29" s="32"/>
      <c r="CK29" s="33"/>
      <c r="CL29" s="32">
        <v>49.9</v>
      </c>
      <c r="CM29" s="32">
        <v>82.6</v>
      </c>
      <c r="CN29" s="32">
        <v>75.599999999999994</v>
      </c>
      <c r="CO29" s="32">
        <v>2</v>
      </c>
      <c r="CP29" s="32">
        <v>5.2</v>
      </c>
      <c r="CQ29" s="32">
        <v>5.3</v>
      </c>
      <c r="CR29" s="64">
        <v>42.1</v>
      </c>
      <c r="CS29" s="64">
        <v>42.5</v>
      </c>
      <c r="CT29" s="64">
        <v>42.9</v>
      </c>
      <c r="CU29" s="32" t="str">
        <f t="shared" si="0"/>
        <v>9830414H</v>
      </c>
      <c r="CV29" s="47">
        <v>75</v>
      </c>
      <c r="CW29" s="47">
        <v>35.323259846420605</v>
      </c>
      <c r="CX29" s="47">
        <v>37.207235798159317</v>
      </c>
      <c r="DA29" s="68"/>
    </row>
    <row r="30" spans="1:105" x14ac:dyDescent="0.2">
      <c r="A30" s="30" t="s">
        <v>165</v>
      </c>
      <c r="B30" s="30" t="s">
        <v>78</v>
      </c>
      <c r="C30" s="30" t="s">
        <v>27</v>
      </c>
      <c r="D30" s="30" t="s">
        <v>120</v>
      </c>
      <c r="E30" s="30" t="s">
        <v>112</v>
      </c>
      <c r="F30" s="31">
        <v>124</v>
      </c>
      <c r="G30" s="31">
        <v>23</v>
      </c>
      <c r="H30" s="31">
        <v>13</v>
      </c>
      <c r="I30" s="31">
        <v>126</v>
      </c>
      <c r="J30" s="31">
        <v>24</v>
      </c>
      <c r="K30" s="31" t="s">
        <v>10</v>
      </c>
      <c r="L30" s="31">
        <v>131</v>
      </c>
      <c r="M30" s="33">
        <v>29</v>
      </c>
      <c r="N30" s="33" t="s">
        <v>10</v>
      </c>
      <c r="O30" s="31">
        <v>142</v>
      </c>
      <c r="P30" s="33">
        <v>28</v>
      </c>
      <c r="Q30" s="33" t="s">
        <v>10</v>
      </c>
      <c r="R30" s="47">
        <v>127.6</v>
      </c>
      <c r="S30" s="60">
        <v>121</v>
      </c>
      <c r="T30" s="60">
        <v>127</v>
      </c>
      <c r="U30" s="60">
        <v>72.5</v>
      </c>
      <c r="V30" s="60">
        <v>46.1</v>
      </c>
      <c r="W30" s="60">
        <v>45.8</v>
      </c>
      <c r="X30" s="60">
        <v>5</v>
      </c>
      <c r="Y30" s="60">
        <v>16.399999999999999</v>
      </c>
      <c r="Z30" s="60">
        <v>16.399999999999999</v>
      </c>
      <c r="AA30" s="47">
        <v>73.8</v>
      </c>
      <c r="AB30" s="60">
        <v>96.4</v>
      </c>
      <c r="AC30" s="47">
        <v>96.6</v>
      </c>
      <c r="AD30" s="47">
        <v>8.1</v>
      </c>
      <c r="AE30" s="60">
        <v>9.8000000000000007</v>
      </c>
      <c r="AF30" s="60">
        <v>10.7</v>
      </c>
      <c r="AG30" s="61">
        <v>71.099999999999994</v>
      </c>
      <c r="AH30" s="61">
        <v>46.9</v>
      </c>
      <c r="AI30" s="61">
        <v>47.6</v>
      </c>
      <c r="AJ30" s="61">
        <v>91.9</v>
      </c>
      <c r="AK30" s="61">
        <v>60.6</v>
      </c>
      <c r="AL30" s="61">
        <v>63.2</v>
      </c>
      <c r="AM30" s="62">
        <v>2.16</v>
      </c>
      <c r="AN30" s="62">
        <v>1.36</v>
      </c>
      <c r="AO30" s="62">
        <v>1.36</v>
      </c>
      <c r="AP30" s="47">
        <v>13.3</v>
      </c>
      <c r="AQ30" s="47">
        <v>22.4</v>
      </c>
      <c r="AR30" s="47">
        <v>22.1</v>
      </c>
      <c r="AS30" s="47">
        <v>36.1</v>
      </c>
      <c r="AT30" s="60">
        <v>56</v>
      </c>
      <c r="AU30" s="64">
        <v>53.8</v>
      </c>
      <c r="AV30" s="47">
        <v>36.1</v>
      </c>
      <c r="AW30" s="60">
        <v>29.5</v>
      </c>
      <c r="AX30" s="64">
        <v>30.7</v>
      </c>
      <c r="AY30" s="47">
        <v>19.399999999999999</v>
      </c>
      <c r="AZ30" s="60">
        <v>8.1999999999999993</v>
      </c>
      <c r="BA30" s="32">
        <v>9.3000000000000007</v>
      </c>
      <c r="BE30" s="47">
        <v>0</v>
      </c>
      <c r="BF30" s="60">
        <v>0.5</v>
      </c>
      <c r="BG30" s="32">
        <v>0.7</v>
      </c>
      <c r="BH30" s="32">
        <v>85.7</v>
      </c>
      <c r="BI30" s="32">
        <v>88.6</v>
      </c>
      <c r="BJ30" s="32">
        <v>87.4</v>
      </c>
      <c r="BK30" s="32">
        <v>71.400000000000006</v>
      </c>
      <c r="BL30" s="32">
        <v>84.9</v>
      </c>
      <c r="BM30" s="32">
        <v>85.4</v>
      </c>
      <c r="BN30" s="47">
        <v>90</v>
      </c>
      <c r="BO30" s="32">
        <v>76.2</v>
      </c>
      <c r="BP30" s="32">
        <v>77</v>
      </c>
      <c r="BQ30" s="32">
        <v>78.599999999999994</v>
      </c>
      <c r="BR30" s="32">
        <v>86.3</v>
      </c>
      <c r="BS30" s="32">
        <v>86.3</v>
      </c>
      <c r="BT30" s="47">
        <v>-0.31055900621117871</v>
      </c>
      <c r="BU30" s="32">
        <v>-6.3</v>
      </c>
      <c r="BV30" s="32">
        <v>-5.9</v>
      </c>
      <c r="BW30" s="32">
        <v>6.9</v>
      </c>
      <c r="BX30" s="32">
        <v>9.1</v>
      </c>
      <c r="BY30" s="32">
        <v>8.9</v>
      </c>
      <c r="BZ30" s="63">
        <v>14.3</v>
      </c>
      <c r="CA30" s="63">
        <v>15.946999999999999</v>
      </c>
      <c r="CB30" s="63">
        <v>15.5</v>
      </c>
      <c r="CC30" s="32">
        <v>13.1</v>
      </c>
      <c r="CD30" s="32">
        <v>14.8</v>
      </c>
      <c r="CE30" s="32">
        <v>14.7</v>
      </c>
      <c r="CF30" s="32"/>
      <c r="CG30" s="32"/>
      <c r="CH30" s="32"/>
      <c r="CI30" s="32"/>
      <c r="CK30" s="33"/>
      <c r="CL30" s="32">
        <v>52.9</v>
      </c>
      <c r="CM30" s="32">
        <v>82.6</v>
      </c>
      <c r="CN30" s="32">
        <v>75.599999999999994</v>
      </c>
      <c r="CO30" s="32">
        <v>2.4</v>
      </c>
      <c r="CP30" s="32">
        <v>5.2</v>
      </c>
      <c r="CQ30" s="32">
        <v>5.3</v>
      </c>
      <c r="CR30" s="64">
        <v>41</v>
      </c>
      <c r="CS30" s="64">
        <v>42.5</v>
      </c>
      <c r="CT30" s="64">
        <v>42.9</v>
      </c>
      <c r="CU30" s="32" t="str">
        <f t="shared" si="0"/>
        <v>9830418M</v>
      </c>
      <c r="CV30" s="47">
        <v>80.916030534351151</v>
      </c>
      <c r="CW30" s="47">
        <v>35.323259846420605</v>
      </c>
      <c r="CX30" s="47">
        <v>37.207235798159317</v>
      </c>
      <c r="DA30" s="68"/>
    </row>
    <row r="31" spans="1:105" x14ac:dyDescent="0.2">
      <c r="A31" s="30" t="s">
        <v>166</v>
      </c>
      <c r="B31" s="30" t="s">
        <v>79</v>
      </c>
      <c r="C31" s="30" t="s">
        <v>27</v>
      </c>
      <c r="D31" s="30" t="s">
        <v>129</v>
      </c>
      <c r="E31" s="30" t="s">
        <v>112</v>
      </c>
      <c r="F31" s="31">
        <v>245</v>
      </c>
      <c r="G31" s="31" t="s">
        <v>10</v>
      </c>
      <c r="H31" s="31" t="s">
        <v>10</v>
      </c>
      <c r="I31" s="31">
        <v>229</v>
      </c>
      <c r="J31" s="31" t="s">
        <v>10</v>
      </c>
      <c r="K31" s="31" t="s">
        <v>10</v>
      </c>
      <c r="L31" s="31">
        <v>263</v>
      </c>
      <c r="M31" s="33" t="s">
        <v>10</v>
      </c>
      <c r="N31" s="33" t="s">
        <v>10</v>
      </c>
      <c r="O31" s="31">
        <v>270</v>
      </c>
      <c r="P31" s="33" t="s">
        <v>10</v>
      </c>
      <c r="Q31" s="33" t="s">
        <v>10</v>
      </c>
      <c r="R31" s="47">
        <v>150.6</v>
      </c>
      <c r="S31" s="60">
        <v>121</v>
      </c>
      <c r="T31" s="60">
        <v>127</v>
      </c>
      <c r="U31" s="60">
        <v>78.5</v>
      </c>
      <c r="V31" s="60">
        <v>46.1</v>
      </c>
      <c r="W31" s="60">
        <v>45.8</v>
      </c>
      <c r="X31" s="60">
        <v>5.4</v>
      </c>
      <c r="Y31" s="60">
        <v>16.399999999999999</v>
      </c>
      <c r="Z31" s="60">
        <v>16.399999999999999</v>
      </c>
      <c r="AA31" s="47">
        <v>73.400000000000006</v>
      </c>
      <c r="AB31" s="60">
        <v>96.4</v>
      </c>
      <c r="AC31" s="47">
        <v>96.6</v>
      </c>
      <c r="AD31" s="47">
        <v>11</v>
      </c>
      <c r="AE31" s="60">
        <v>9.8000000000000007</v>
      </c>
      <c r="AF31" s="60">
        <v>10.7</v>
      </c>
      <c r="AG31" s="61">
        <v>78.099999999999994</v>
      </c>
      <c r="AH31" s="61">
        <v>46.9</v>
      </c>
      <c r="AI31" s="61">
        <v>47.6</v>
      </c>
      <c r="AJ31" s="61">
        <v>97.3</v>
      </c>
      <c r="AK31" s="61">
        <v>60.6</v>
      </c>
      <c r="AL31" s="61">
        <v>63.2</v>
      </c>
      <c r="AM31" s="62">
        <v>1.61</v>
      </c>
      <c r="AN31" s="62">
        <v>1.36</v>
      </c>
      <c r="AO31" s="62">
        <v>1.36</v>
      </c>
      <c r="AP31" s="47">
        <v>17.5</v>
      </c>
      <c r="AQ31" s="47">
        <v>22.4</v>
      </c>
      <c r="AR31" s="47">
        <v>22.1</v>
      </c>
      <c r="AS31" s="47">
        <v>25</v>
      </c>
      <c r="AT31" s="60">
        <v>56</v>
      </c>
      <c r="AU31" s="64">
        <v>53.8</v>
      </c>
      <c r="AV31" s="47">
        <v>45.8</v>
      </c>
      <c r="AW31" s="60">
        <v>29.5</v>
      </c>
      <c r="AX31" s="64">
        <v>30.7</v>
      </c>
      <c r="AY31" s="47">
        <v>18.8</v>
      </c>
      <c r="AZ31" s="60">
        <v>8.1999999999999993</v>
      </c>
      <c r="BA31" s="32">
        <v>9.3000000000000007</v>
      </c>
      <c r="BE31" s="47">
        <v>0</v>
      </c>
      <c r="BF31" s="60">
        <v>0.5</v>
      </c>
      <c r="BG31" s="32">
        <v>0.7</v>
      </c>
      <c r="BH31" s="32">
        <v>36.4</v>
      </c>
      <c r="BI31" s="32">
        <v>88.6</v>
      </c>
      <c r="BJ31" s="32">
        <v>87.4</v>
      </c>
      <c r="BK31" s="32">
        <v>76.5</v>
      </c>
      <c r="BL31" s="32">
        <v>84.9</v>
      </c>
      <c r="BM31" s="32">
        <v>85.4</v>
      </c>
      <c r="BN31" s="47">
        <v>69.2</v>
      </c>
      <c r="BO31" s="32">
        <v>76.2</v>
      </c>
      <c r="BP31" s="32">
        <v>77</v>
      </c>
      <c r="BQ31" s="32">
        <v>80</v>
      </c>
      <c r="BR31" s="32">
        <v>86.3</v>
      </c>
      <c r="BS31" s="32">
        <v>86.3</v>
      </c>
      <c r="BT31" s="47">
        <v>-4.1379310344827616</v>
      </c>
      <c r="BU31" s="32">
        <v>-6.3</v>
      </c>
      <c r="BV31" s="32">
        <v>-5.9</v>
      </c>
      <c r="BW31" s="32">
        <v>6.9</v>
      </c>
      <c r="BX31" s="32">
        <v>9.1</v>
      </c>
      <c r="BY31" s="32">
        <v>8.9</v>
      </c>
      <c r="BZ31" s="63">
        <v>15.2</v>
      </c>
      <c r="CA31" s="63">
        <v>15.946999999999999</v>
      </c>
      <c r="CB31" s="63">
        <v>15.5</v>
      </c>
      <c r="CC31" s="32">
        <v>14.3</v>
      </c>
      <c r="CD31" s="32">
        <v>14.8</v>
      </c>
      <c r="CE31" s="32">
        <v>14.7</v>
      </c>
      <c r="CF31" s="32"/>
      <c r="CG31" s="32"/>
      <c r="CH31" s="32"/>
      <c r="CI31" s="32"/>
      <c r="CK31" s="33"/>
      <c r="CL31" s="32">
        <v>46</v>
      </c>
      <c r="CM31" s="32">
        <v>82.6</v>
      </c>
      <c r="CN31" s="32">
        <v>75.599999999999994</v>
      </c>
      <c r="CO31" s="32">
        <v>2.2999999999999998</v>
      </c>
      <c r="CP31" s="32">
        <v>5.2</v>
      </c>
      <c r="CQ31" s="32">
        <v>5.3</v>
      </c>
      <c r="CR31" s="64">
        <v>41.8</v>
      </c>
      <c r="CS31" s="64">
        <v>42.5</v>
      </c>
      <c r="CT31" s="64">
        <v>42.9</v>
      </c>
      <c r="CU31" s="32" t="str">
        <f t="shared" si="0"/>
        <v>9830419N</v>
      </c>
      <c r="CV31" s="47">
        <v>68.06083650190115</v>
      </c>
      <c r="CW31" s="47">
        <v>35.323259846420605</v>
      </c>
      <c r="CX31" s="47">
        <v>37.207235798159317</v>
      </c>
      <c r="DA31" s="68"/>
    </row>
    <row r="32" spans="1:105" x14ac:dyDescent="0.2">
      <c r="A32" s="30" t="s">
        <v>167</v>
      </c>
      <c r="B32" s="30" t="s">
        <v>80</v>
      </c>
      <c r="C32" s="30" t="s">
        <v>104</v>
      </c>
      <c r="D32" s="30" t="s">
        <v>127</v>
      </c>
      <c r="E32" s="30" t="s">
        <v>113</v>
      </c>
      <c r="F32" s="31">
        <v>164</v>
      </c>
      <c r="G32" s="31" t="s">
        <v>10</v>
      </c>
      <c r="H32" s="31" t="s">
        <v>10</v>
      </c>
      <c r="I32" s="31">
        <v>108</v>
      </c>
      <c r="J32" s="31" t="s">
        <v>10</v>
      </c>
      <c r="K32" s="31" t="s">
        <v>10</v>
      </c>
      <c r="L32" s="31">
        <v>90</v>
      </c>
      <c r="M32" s="33" t="s">
        <v>10</v>
      </c>
      <c r="N32" s="33" t="s">
        <v>10</v>
      </c>
      <c r="O32" s="31">
        <v>93</v>
      </c>
      <c r="P32" s="33" t="s">
        <v>10</v>
      </c>
      <c r="Q32" s="33" t="s">
        <v>10</v>
      </c>
      <c r="R32" s="47">
        <v>140.30000000000001</v>
      </c>
      <c r="S32" s="60">
        <v>136.80000000000001</v>
      </c>
      <c r="T32" s="60">
        <v>127</v>
      </c>
      <c r="U32" s="60">
        <v>34.4</v>
      </c>
      <c r="V32" s="60">
        <v>44.7</v>
      </c>
      <c r="W32" s="60">
        <v>45.8</v>
      </c>
      <c r="X32" s="60">
        <v>21.1</v>
      </c>
      <c r="Y32" s="60">
        <v>16.3</v>
      </c>
      <c r="Z32" s="60">
        <v>16.399999999999999</v>
      </c>
      <c r="AA32" s="47">
        <v>103.6</v>
      </c>
      <c r="AB32" s="60">
        <v>97.3</v>
      </c>
      <c r="AC32" s="47">
        <v>96.6</v>
      </c>
      <c r="AD32" s="47">
        <v>11.1</v>
      </c>
      <c r="AE32" s="60">
        <v>13.8</v>
      </c>
      <c r="AF32" s="60">
        <v>10.7</v>
      </c>
      <c r="AG32" s="61">
        <v>52.6</v>
      </c>
      <c r="AH32" s="61">
        <v>49.9</v>
      </c>
      <c r="AI32" s="61">
        <v>47.6</v>
      </c>
      <c r="AJ32" s="61">
        <v>68.400000000000006</v>
      </c>
      <c r="AK32" s="61">
        <v>72.099999999999994</v>
      </c>
      <c r="AL32" s="61">
        <v>63.2</v>
      </c>
      <c r="AM32" s="62">
        <v>1.61</v>
      </c>
      <c r="AN32" s="62">
        <v>1.38</v>
      </c>
      <c r="AO32" s="62">
        <v>1.36</v>
      </c>
      <c r="AP32" s="47">
        <v>18</v>
      </c>
      <c r="AQ32" s="47">
        <v>21.2</v>
      </c>
      <c r="AR32" s="47">
        <v>22.1</v>
      </c>
      <c r="AS32" s="47">
        <v>41.2</v>
      </c>
      <c r="AT32" s="60">
        <v>46.4</v>
      </c>
      <c r="AU32" s="64">
        <v>53.8</v>
      </c>
      <c r="AV32" s="47">
        <v>55.9</v>
      </c>
      <c r="AW32" s="60">
        <v>34.4</v>
      </c>
      <c r="AX32" s="64">
        <v>30.7</v>
      </c>
      <c r="AY32" s="47">
        <v>0</v>
      </c>
      <c r="AZ32" s="60">
        <v>12.8</v>
      </c>
      <c r="BA32" s="32">
        <v>9.3000000000000007</v>
      </c>
      <c r="BE32" s="47">
        <v>2.9</v>
      </c>
      <c r="BF32" s="60">
        <v>1.2</v>
      </c>
      <c r="BG32" s="32">
        <v>0.7</v>
      </c>
      <c r="BH32" s="32">
        <v>77.8</v>
      </c>
      <c r="BI32" s="32">
        <v>82.4</v>
      </c>
      <c r="BJ32" s="32">
        <v>87.4</v>
      </c>
      <c r="BK32" s="32">
        <v>62.5</v>
      </c>
      <c r="BL32" s="32">
        <v>86.8</v>
      </c>
      <c r="BM32" s="32">
        <v>85.4</v>
      </c>
      <c r="BN32" s="47">
        <v>100</v>
      </c>
      <c r="BO32" s="32">
        <v>78.5</v>
      </c>
      <c r="BP32" s="32">
        <v>77</v>
      </c>
      <c r="BQ32" s="32">
        <v>100</v>
      </c>
      <c r="BR32" s="32">
        <v>86.5</v>
      </c>
      <c r="BS32" s="32">
        <v>86.3</v>
      </c>
      <c r="BT32" s="47">
        <v>0</v>
      </c>
      <c r="BU32" s="32">
        <v>-4.5</v>
      </c>
      <c r="BV32" s="32">
        <v>-5.9</v>
      </c>
      <c r="BW32" s="32">
        <v>6.6</v>
      </c>
      <c r="BX32" s="32">
        <v>8.1</v>
      </c>
      <c r="BY32" s="32">
        <v>8.9</v>
      </c>
      <c r="BZ32" s="63">
        <v>18.100000000000001</v>
      </c>
      <c r="CA32" s="63">
        <v>16.100000000000001</v>
      </c>
      <c r="CB32" s="63">
        <v>15.5</v>
      </c>
      <c r="CC32" s="32">
        <v>15.4</v>
      </c>
      <c r="CD32" s="32">
        <v>14.4</v>
      </c>
      <c r="CE32" s="32">
        <v>14.7</v>
      </c>
      <c r="CF32" s="32"/>
      <c r="CG32" s="32"/>
      <c r="CH32" s="32"/>
      <c r="CI32" s="33"/>
      <c r="CJ32" s="33"/>
      <c r="CK32" s="33"/>
      <c r="CL32" s="32">
        <v>46.6</v>
      </c>
      <c r="CM32" s="32">
        <v>51.7</v>
      </c>
      <c r="CN32" s="32">
        <v>75.599999999999994</v>
      </c>
      <c r="CO32" s="32">
        <v>6.2</v>
      </c>
      <c r="CP32" s="32">
        <v>5.6</v>
      </c>
      <c r="CQ32" s="32">
        <v>5.3</v>
      </c>
      <c r="CR32" s="64">
        <v>46.2</v>
      </c>
      <c r="CS32" s="64">
        <v>44.2</v>
      </c>
      <c r="CT32" s="64">
        <v>42.9</v>
      </c>
      <c r="CU32" s="32" t="str">
        <f t="shared" si="0"/>
        <v>9830420P</v>
      </c>
      <c r="CV32" s="47">
        <v>77.777777777777786</v>
      </c>
      <c r="CW32" s="47">
        <v>43.468715697036224</v>
      </c>
      <c r="CX32" s="47">
        <v>37.207235798159317</v>
      </c>
      <c r="DA32" s="68"/>
    </row>
    <row r="33" spans="1:105" x14ac:dyDescent="0.2">
      <c r="A33" s="30" t="s">
        <v>168</v>
      </c>
      <c r="B33" s="30" t="s">
        <v>81</v>
      </c>
      <c r="C33" s="30" t="s">
        <v>104</v>
      </c>
      <c r="D33" s="30" t="s">
        <v>128</v>
      </c>
      <c r="E33" s="30" t="s">
        <v>113</v>
      </c>
      <c r="F33" s="31">
        <v>169</v>
      </c>
      <c r="G33" s="31" t="s">
        <v>10</v>
      </c>
      <c r="H33" s="31" t="s">
        <v>10</v>
      </c>
      <c r="I33" s="31">
        <v>133</v>
      </c>
      <c r="J33" s="31" t="s">
        <v>10</v>
      </c>
      <c r="K33" s="31" t="s">
        <v>10</v>
      </c>
      <c r="L33" s="31">
        <v>143</v>
      </c>
      <c r="M33" s="33" t="s">
        <v>10</v>
      </c>
      <c r="N33" s="33" t="s">
        <v>10</v>
      </c>
      <c r="O33" s="31">
        <v>135</v>
      </c>
      <c r="P33" s="33" t="s">
        <v>10</v>
      </c>
      <c r="Q33" s="33" t="s">
        <v>10</v>
      </c>
      <c r="R33" s="47">
        <v>153.80000000000001</v>
      </c>
      <c r="S33" s="60">
        <v>136.80000000000001</v>
      </c>
      <c r="T33" s="60">
        <v>127</v>
      </c>
      <c r="U33" s="60">
        <v>71</v>
      </c>
      <c r="V33" s="60">
        <v>44.7</v>
      </c>
      <c r="W33" s="60">
        <v>45.8</v>
      </c>
      <c r="X33" s="60">
        <v>7.6</v>
      </c>
      <c r="Y33" s="60">
        <v>16.3</v>
      </c>
      <c r="Z33" s="60">
        <v>16.399999999999999</v>
      </c>
      <c r="AA33" s="47">
        <v>82.3</v>
      </c>
      <c r="AB33" s="60">
        <v>97.3</v>
      </c>
      <c r="AC33" s="47">
        <v>96.6</v>
      </c>
      <c r="AD33" s="47">
        <v>28.1</v>
      </c>
      <c r="AE33" s="60">
        <v>13.8</v>
      </c>
      <c r="AF33" s="60">
        <v>10.7</v>
      </c>
      <c r="AG33" s="61">
        <v>68.599999999999994</v>
      </c>
      <c r="AH33" s="61">
        <v>49.9</v>
      </c>
      <c r="AI33" s="61">
        <v>47.6</v>
      </c>
      <c r="AJ33" s="61">
        <v>85.7</v>
      </c>
      <c r="AK33" s="61">
        <v>72.099999999999994</v>
      </c>
      <c r="AL33" s="61">
        <v>63.2</v>
      </c>
      <c r="AM33" s="62">
        <v>1.64</v>
      </c>
      <c r="AN33" s="62">
        <v>1.38</v>
      </c>
      <c r="AO33" s="62">
        <v>1.36</v>
      </c>
      <c r="AP33" s="47">
        <v>17.899999999999999</v>
      </c>
      <c r="AQ33" s="47">
        <v>21.2</v>
      </c>
      <c r="AR33" s="47">
        <v>22.1</v>
      </c>
      <c r="AS33" s="47">
        <v>33.299999999999997</v>
      </c>
      <c r="AT33" s="60">
        <v>46.4</v>
      </c>
      <c r="AU33" s="64">
        <v>53.8</v>
      </c>
      <c r="AV33" s="47">
        <v>42.9</v>
      </c>
      <c r="AW33" s="60">
        <v>34.4</v>
      </c>
      <c r="AX33" s="64">
        <v>30.7</v>
      </c>
      <c r="AY33" s="47">
        <v>14.3</v>
      </c>
      <c r="AZ33" s="60">
        <v>12.8</v>
      </c>
      <c r="BA33" s="32">
        <v>9.3000000000000007</v>
      </c>
      <c r="BE33" s="47">
        <v>4.8</v>
      </c>
      <c r="BF33" s="60">
        <v>1.2</v>
      </c>
      <c r="BG33" s="32">
        <v>0.7</v>
      </c>
      <c r="BH33" s="32">
        <v>75</v>
      </c>
      <c r="BI33" s="32">
        <v>82.4</v>
      </c>
      <c r="BJ33" s="32">
        <v>87.4</v>
      </c>
      <c r="BK33" s="32">
        <v>73.900000000000006</v>
      </c>
      <c r="BL33" s="32">
        <v>86.8</v>
      </c>
      <c r="BM33" s="32">
        <v>85.4</v>
      </c>
      <c r="BN33" s="47">
        <v>33.299999999999997</v>
      </c>
      <c r="BO33" s="32">
        <v>78.5</v>
      </c>
      <c r="BP33" s="32">
        <v>77</v>
      </c>
      <c r="BQ33" s="32">
        <v>86.2</v>
      </c>
      <c r="BR33" s="32">
        <v>86.5</v>
      </c>
      <c r="BS33" s="32">
        <v>86.3</v>
      </c>
      <c r="BT33" s="47">
        <v>-1.2068965517241281</v>
      </c>
      <c r="BU33" s="32">
        <v>-4.5</v>
      </c>
      <c r="BV33" s="32">
        <v>-5.9</v>
      </c>
      <c r="BW33" s="32">
        <v>6.6</v>
      </c>
      <c r="BX33" s="32">
        <v>8.1</v>
      </c>
      <c r="BY33" s="32">
        <v>8.9</v>
      </c>
      <c r="BZ33" s="63">
        <v>17</v>
      </c>
      <c r="CA33" s="63">
        <v>16.100000000000001</v>
      </c>
      <c r="CB33" s="63">
        <v>15.5</v>
      </c>
      <c r="CC33" s="32">
        <v>13.4</v>
      </c>
      <c r="CD33" s="32">
        <v>14.4</v>
      </c>
      <c r="CE33" s="32">
        <v>14.7</v>
      </c>
      <c r="CF33" s="32"/>
      <c r="CG33" s="32"/>
      <c r="CH33" s="32"/>
      <c r="CI33" s="33"/>
      <c r="CJ33" s="33"/>
      <c r="CK33" s="33"/>
      <c r="CL33" s="32">
        <v>35</v>
      </c>
      <c r="CM33" s="32">
        <v>51.7</v>
      </c>
      <c r="CN33" s="32">
        <v>75.599999999999994</v>
      </c>
      <c r="CO33" s="32">
        <v>5.7</v>
      </c>
      <c r="CP33" s="32">
        <v>5.6</v>
      </c>
      <c r="CQ33" s="32">
        <v>5.3</v>
      </c>
      <c r="CR33" s="64">
        <v>46.8</v>
      </c>
      <c r="CS33" s="64">
        <v>44.2</v>
      </c>
      <c r="CT33" s="64">
        <v>42.9</v>
      </c>
      <c r="CU33" s="32" t="str">
        <f t="shared" si="0"/>
        <v>9830431B</v>
      </c>
      <c r="CV33" s="47">
        <v>54.54545454545454</v>
      </c>
      <c r="CW33" s="47">
        <v>43.468715697036224</v>
      </c>
      <c r="CX33" s="47">
        <v>37.207235798159317</v>
      </c>
      <c r="DA33" s="68"/>
    </row>
    <row r="34" spans="1:105" x14ac:dyDescent="0.2">
      <c r="A34" s="30" t="s">
        <v>169</v>
      </c>
      <c r="B34" s="30" t="s">
        <v>82</v>
      </c>
      <c r="C34" s="30" t="s">
        <v>104</v>
      </c>
      <c r="D34" s="30" t="s">
        <v>130</v>
      </c>
      <c r="E34" s="30" t="s">
        <v>113</v>
      </c>
      <c r="F34" s="31">
        <v>203</v>
      </c>
      <c r="G34" s="31" t="s">
        <v>10</v>
      </c>
      <c r="H34" s="31" t="s">
        <v>10</v>
      </c>
      <c r="I34" s="31">
        <v>148</v>
      </c>
      <c r="J34" s="31" t="s">
        <v>10</v>
      </c>
      <c r="K34" s="31" t="s">
        <v>10</v>
      </c>
      <c r="L34" s="31">
        <v>161</v>
      </c>
      <c r="M34" s="33" t="s">
        <v>10</v>
      </c>
      <c r="N34" s="33" t="s">
        <v>10</v>
      </c>
      <c r="O34" s="31">
        <v>167</v>
      </c>
      <c r="P34" s="33" t="s">
        <v>10</v>
      </c>
      <c r="Q34" s="33" t="s">
        <v>10</v>
      </c>
      <c r="R34" s="47">
        <v>140.9</v>
      </c>
      <c r="S34" s="60">
        <v>136.80000000000001</v>
      </c>
      <c r="T34" s="60">
        <v>127</v>
      </c>
      <c r="U34" s="60">
        <v>61.3</v>
      </c>
      <c r="V34" s="60">
        <v>44.7</v>
      </c>
      <c r="W34" s="60">
        <v>45.8</v>
      </c>
      <c r="X34" s="60">
        <v>10</v>
      </c>
      <c r="Y34" s="60">
        <v>16.3</v>
      </c>
      <c r="Z34" s="60">
        <v>16.399999999999999</v>
      </c>
      <c r="AA34" s="47">
        <v>81</v>
      </c>
      <c r="AB34" s="60">
        <v>97.3</v>
      </c>
      <c r="AC34" s="47">
        <v>96.6</v>
      </c>
      <c r="AD34" s="47">
        <v>17.8</v>
      </c>
      <c r="AE34" s="60">
        <v>13.8</v>
      </c>
      <c r="AF34" s="60">
        <v>10.7</v>
      </c>
      <c r="AG34" s="61">
        <v>35.299999999999997</v>
      </c>
      <c r="AH34" s="61">
        <v>49.9</v>
      </c>
      <c r="AI34" s="61">
        <v>47.6</v>
      </c>
      <c r="AJ34" s="61">
        <v>79.400000000000006</v>
      </c>
      <c r="AK34" s="61">
        <v>72.099999999999994</v>
      </c>
      <c r="AL34" s="61">
        <v>63.2</v>
      </c>
      <c r="AM34" s="62">
        <v>1.45</v>
      </c>
      <c r="AN34" s="62">
        <v>1.38</v>
      </c>
      <c r="AO34" s="62">
        <v>1.36</v>
      </c>
      <c r="AP34" s="47">
        <v>20.100000000000001</v>
      </c>
      <c r="AQ34" s="47">
        <v>21.2</v>
      </c>
      <c r="AR34" s="47">
        <v>22.1</v>
      </c>
      <c r="AS34" s="47">
        <v>32.4</v>
      </c>
      <c r="AT34" s="60">
        <v>46.4</v>
      </c>
      <c r="AU34" s="64">
        <v>53.8</v>
      </c>
      <c r="AV34" s="47">
        <v>41.2</v>
      </c>
      <c r="AW34" s="60">
        <v>34.4</v>
      </c>
      <c r="AX34" s="64">
        <v>30.7</v>
      </c>
      <c r="AY34" s="47">
        <v>8.8000000000000007</v>
      </c>
      <c r="AZ34" s="60">
        <v>12.8</v>
      </c>
      <c r="BA34" s="32">
        <v>9.3000000000000007</v>
      </c>
      <c r="BE34" s="47">
        <v>2.9</v>
      </c>
      <c r="BF34" s="60">
        <v>1.2</v>
      </c>
      <c r="BG34" s="32">
        <v>0.7</v>
      </c>
      <c r="BH34" s="32">
        <v>54.5</v>
      </c>
      <c r="BI34" s="32">
        <v>82.4</v>
      </c>
      <c r="BJ34" s="32">
        <v>87.4</v>
      </c>
      <c r="BK34" s="32">
        <v>87.5</v>
      </c>
      <c r="BL34" s="32">
        <v>86.8</v>
      </c>
      <c r="BM34" s="32">
        <v>85.4</v>
      </c>
      <c r="BN34" s="47">
        <v>40</v>
      </c>
      <c r="BO34" s="32">
        <v>78.5</v>
      </c>
      <c r="BP34" s="32">
        <v>77</v>
      </c>
      <c r="BQ34" s="32">
        <v>79.400000000000006</v>
      </c>
      <c r="BR34" s="32">
        <v>86.5</v>
      </c>
      <c r="BS34" s="32">
        <v>86.3</v>
      </c>
      <c r="BT34" s="47">
        <v>2.941176470588232</v>
      </c>
      <c r="BU34" s="32">
        <v>-4.5</v>
      </c>
      <c r="BV34" s="32">
        <v>-5.9</v>
      </c>
      <c r="BW34" s="32">
        <v>7.4</v>
      </c>
      <c r="BX34" s="32">
        <v>8.1</v>
      </c>
      <c r="BY34" s="32">
        <v>8.9</v>
      </c>
      <c r="BZ34" s="63">
        <v>15</v>
      </c>
      <c r="CA34" s="63">
        <v>16.100000000000001</v>
      </c>
      <c r="CB34" s="63">
        <v>15.5</v>
      </c>
      <c r="CC34" s="32">
        <v>14.1</v>
      </c>
      <c r="CD34" s="32">
        <v>14.4</v>
      </c>
      <c r="CE34" s="32">
        <v>14.7</v>
      </c>
      <c r="CF34" s="32"/>
      <c r="CG34" s="32"/>
      <c r="CH34" s="32"/>
      <c r="CI34" s="33"/>
      <c r="CJ34" s="33"/>
      <c r="CK34" s="33"/>
      <c r="CL34" s="32">
        <v>37.4</v>
      </c>
      <c r="CM34" s="32">
        <v>51.7</v>
      </c>
      <c r="CN34" s="32">
        <v>75.599999999999994</v>
      </c>
      <c r="CO34" s="32">
        <v>6.7</v>
      </c>
      <c r="CP34" s="32">
        <v>5.6</v>
      </c>
      <c r="CQ34" s="32">
        <v>5.3</v>
      </c>
      <c r="CR34" s="64">
        <v>44.2</v>
      </c>
      <c r="CS34" s="64">
        <v>44.2</v>
      </c>
      <c r="CT34" s="64">
        <v>42.9</v>
      </c>
      <c r="CU34" s="32" t="str">
        <f t="shared" ref="CU34:CU56" si="1">B34</f>
        <v>9830432C</v>
      </c>
      <c r="CV34" s="47">
        <v>50.310559006211179</v>
      </c>
      <c r="CW34" s="47">
        <v>43.468715697036224</v>
      </c>
      <c r="CX34" s="47">
        <v>37.207235798159317</v>
      </c>
      <c r="DA34" s="68"/>
    </row>
    <row r="35" spans="1:105" x14ac:dyDescent="0.2">
      <c r="A35" s="30" t="s">
        <v>170</v>
      </c>
      <c r="B35" s="30" t="s">
        <v>83</v>
      </c>
      <c r="C35" s="30" t="s">
        <v>104</v>
      </c>
      <c r="D35" s="30" t="s">
        <v>119</v>
      </c>
      <c r="E35" s="30" t="s">
        <v>113</v>
      </c>
      <c r="F35" s="31">
        <v>98</v>
      </c>
      <c r="G35" s="31" t="s">
        <v>10</v>
      </c>
      <c r="H35" s="31" t="s">
        <v>10</v>
      </c>
      <c r="I35" s="31">
        <v>70</v>
      </c>
      <c r="J35" s="31" t="s">
        <v>10</v>
      </c>
      <c r="K35" s="31" t="s">
        <v>10</v>
      </c>
      <c r="L35" s="31">
        <v>70</v>
      </c>
      <c r="M35" s="33" t="s">
        <v>10</v>
      </c>
      <c r="N35" s="33" t="s">
        <v>10</v>
      </c>
      <c r="O35" s="31">
        <v>70</v>
      </c>
      <c r="P35" s="33" t="s">
        <v>10</v>
      </c>
      <c r="Q35" s="33" t="s">
        <v>10</v>
      </c>
      <c r="R35" s="47">
        <v>151.69999999999999</v>
      </c>
      <c r="S35" s="60">
        <v>136.80000000000001</v>
      </c>
      <c r="T35" s="60">
        <v>127</v>
      </c>
      <c r="U35" s="60">
        <v>51.5</v>
      </c>
      <c r="V35" s="60">
        <v>44.7</v>
      </c>
      <c r="W35" s="60">
        <v>45.8</v>
      </c>
      <c r="X35" s="60">
        <v>16.7</v>
      </c>
      <c r="Y35" s="60">
        <v>16.3</v>
      </c>
      <c r="Z35" s="60">
        <v>16.399999999999999</v>
      </c>
      <c r="AA35" s="47">
        <v>93.9</v>
      </c>
      <c r="AB35" s="60">
        <v>97.3</v>
      </c>
      <c r="AC35" s="47">
        <v>96.6</v>
      </c>
      <c r="AD35" s="47">
        <v>19</v>
      </c>
      <c r="AE35" s="60">
        <v>13.8</v>
      </c>
      <c r="AF35" s="60">
        <v>10.7</v>
      </c>
      <c r="AG35" s="61">
        <v>60</v>
      </c>
      <c r="AH35" s="61">
        <v>49.9</v>
      </c>
      <c r="AI35" s="61">
        <v>47.6</v>
      </c>
      <c r="AJ35" s="61">
        <v>95.2</v>
      </c>
      <c r="AK35" s="61">
        <v>72.099999999999994</v>
      </c>
      <c r="AL35" s="61">
        <v>63.2</v>
      </c>
      <c r="AM35" s="62">
        <v>1.58</v>
      </c>
      <c r="AN35" s="62">
        <v>1.38</v>
      </c>
      <c r="AO35" s="62">
        <v>1.36</v>
      </c>
      <c r="AP35" s="47">
        <v>17.5</v>
      </c>
      <c r="AQ35" s="47">
        <v>21.2</v>
      </c>
      <c r="AR35" s="47">
        <v>22.1</v>
      </c>
      <c r="AS35" s="47">
        <v>46.7</v>
      </c>
      <c r="AT35" s="60">
        <v>46.4</v>
      </c>
      <c r="AU35" s="64">
        <v>53.8</v>
      </c>
      <c r="AV35" s="47">
        <v>13.3</v>
      </c>
      <c r="AW35" s="60">
        <v>34.4</v>
      </c>
      <c r="AX35" s="64">
        <v>30.7</v>
      </c>
      <c r="AY35" s="47">
        <v>40</v>
      </c>
      <c r="AZ35" s="60">
        <v>12.8</v>
      </c>
      <c r="BA35" s="32">
        <v>9.3000000000000007</v>
      </c>
      <c r="BE35" s="47">
        <v>0</v>
      </c>
      <c r="BF35" s="60">
        <v>1.2</v>
      </c>
      <c r="BG35" s="32">
        <v>0.7</v>
      </c>
      <c r="BH35" s="32">
        <v>100</v>
      </c>
      <c r="BI35" s="32">
        <v>82.4</v>
      </c>
      <c r="BJ35" s="32">
        <v>87.4</v>
      </c>
      <c r="BK35" s="32">
        <v>50</v>
      </c>
      <c r="BL35" s="32">
        <v>86.8</v>
      </c>
      <c r="BM35" s="32">
        <v>85.4</v>
      </c>
      <c r="BN35" s="47">
        <v>75</v>
      </c>
      <c r="BO35" s="32">
        <v>78.5</v>
      </c>
      <c r="BP35" s="32">
        <v>77</v>
      </c>
      <c r="BQ35" s="32">
        <v>94.1</v>
      </c>
      <c r="BR35" s="32">
        <v>86.5</v>
      </c>
      <c r="BS35" s="32">
        <v>86.3</v>
      </c>
      <c r="BT35" s="47">
        <v>-5.2287581699346362</v>
      </c>
      <c r="BU35" s="32">
        <v>-4.5</v>
      </c>
      <c r="BV35" s="32">
        <v>-5.9</v>
      </c>
      <c r="BW35" s="32">
        <v>6.6</v>
      </c>
      <c r="BX35" s="32">
        <v>8.1</v>
      </c>
      <c r="BY35" s="32">
        <v>8.9</v>
      </c>
      <c r="BZ35" s="63">
        <v>15.4</v>
      </c>
      <c r="CA35" s="63">
        <v>16.100000000000001</v>
      </c>
      <c r="CB35" s="63">
        <v>15.5</v>
      </c>
      <c r="CC35" s="32">
        <v>14.2</v>
      </c>
      <c r="CD35" s="32">
        <v>14.4</v>
      </c>
      <c r="CE35" s="32">
        <v>14.7</v>
      </c>
      <c r="CF35" s="32"/>
      <c r="CG35" s="32"/>
      <c r="CH35" s="32"/>
      <c r="CI35" s="33"/>
      <c r="CJ35" s="33"/>
      <c r="CK35" s="33"/>
      <c r="CL35" s="32">
        <v>25.4</v>
      </c>
      <c r="CM35" s="32">
        <v>51.7</v>
      </c>
      <c r="CN35" s="32">
        <v>75.599999999999994</v>
      </c>
      <c r="CO35" s="32">
        <v>3.9</v>
      </c>
      <c r="CP35" s="32">
        <v>5.6</v>
      </c>
      <c r="CQ35" s="32">
        <v>5.3</v>
      </c>
      <c r="CR35" s="64">
        <v>40.299999999999997</v>
      </c>
      <c r="CS35" s="64">
        <v>44.2</v>
      </c>
      <c r="CT35" s="64">
        <v>42.9</v>
      </c>
      <c r="CU35" s="32" t="str">
        <f t="shared" si="1"/>
        <v>9830447U</v>
      </c>
      <c r="CV35" s="47">
        <v>70</v>
      </c>
      <c r="CW35" s="47">
        <v>43.468715697036224</v>
      </c>
      <c r="CX35" s="47">
        <v>37.207235798159317</v>
      </c>
      <c r="DA35" s="68"/>
    </row>
    <row r="36" spans="1:105" x14ac:dyDescent="0.2">
      <c r="A36" s="30" t="s">
        <v>171</v>
      </c>
      <c r="B36" s="30" t="s">
        <v>84</v>
      </c>
      <c r="C36" s="30" t="s">
        <v>104</v>
      </c>
      <c r="D36" s="30" t="s">
        <v>124</v>
      </c>
      <c r="E36" s="30" t="s">
        <v>113</v>
      </c>
      <c r="F36" s="31">
        <v>78</v>
      </c>
      <c r="G36" s="31" t="s">
        <v>10</v>
      </c>
      <c r="H36" s="31" t="s">
        <v>10</v>
      </c>
      <c r="I36" s="31">
        <v>75</v>
      </c>
      <c r="J36" s="31" t="s">
        <v>10</v>
      </c>
      <c r="K36" s="31" t="s">
        <v>10</v>
      </c>
      <c r="L36" s="31">
        <v>62</v>
      </c>
      <c r="M36" s="33" t="s">
        <v>10</v>
      </c>
      <c r="N36" s="33" t="s">
        <v>10</v>
      </c>
      <c r="O36" s="31">
        <v>49</v>
      </c>
      <c r="P36" s="33" t="s">
        <v>10</v>
      </c>
      <c r="Q36" s="33" t="s">
        <v>10</v>
      </c>
      <c r="R36" s="47">
        <v>135</v>
      </c>
      <c r="S36" s="60">
        <v>136.80000000000001</v>
      </c>
      <c r="T36" s="60">
        <v>127</v>
      </c>
      <c r="U36" s="60">
        <v>63.8</v>
      </c>
      <c r="V36" s="60">
        <v>44.7</v>
      </c>
      <c r="W36" s="60">
        <v>45.8</v>
      </c>
      <c r="X36" s="60">
        <v>6.9</v>
      </c>
      <c r="Y36" s="60">
        <v>16.3</v>
      </c>
      <c r="Z36" s="60">
        <v>16.399999999999999</v>
      </c>
      <c r="AA36" s="47">
        <v>84</v>
      </c>
      <c r="AB36" s="60">
        <v>97.3</v>
      </c>
      <c r="AC36" s="47">
        <v>96.6</v>
      </c>
      <c r="AD36" s="47">
        <v>33.299999999999997</v>
      </c>
      <c r="AE36" s="60">
        <v>13.8</v>
      </c>
      <c r="AF36" s="60">
        <v>10.7</v>
      </c>
      <c r="AG36" s="61">
        <v>91.7</v>
      </c>
      <c r="AH36" s="61">
        <v>49.9</v>
      </c>
      <c r="AI36" s="61">
        <v>47.6</v>
      </c>
      <c r="AJ36" s="61">
        <v>100</v>
      </c>
      <c r="AK36" s="61">
        <v>72.099999999999994</v>
      </c>
      <c r="AL36" s="61">
        <v>63.2</v>
      </c>
      <c r="AM36" s="62">
        <v>1.65</v>
      </c>
      <c r="AN36" s="62">
        <v>1.38</v>
      </c>
      <c r="AO36" s="62">
        <v>1.36</v>
      </c>
      <c r="AP36" s="47">
        <v>15.5</v>
      </c>
      <c r="AQ36" s="47">
        <v>21.2</v>
      </c>
      <c r="AR36" s="47">
        <v>22.1</v>
      </c>
      <c r="AS36" s="47">
        <v>22.2</v>
      </c>
      <c r="AT36" s="60">
        <v>46.4</v>
      </c>
      <c r="AU36" s="64">
        <v>53.8</v>
      </c>
      <c r="AV36" s="47">
        <v>33.299999999999997</v>
      </c>
      <c r="AW36" s="60">
        <v>34.4</v>
      </c>
      <c r="AX36" s="64">
        <v>30.7</v>
      </c>
      <c r="AY36" s="47">
        <v>22.2</v>
      </c>
      <c r="AZ36" s="60">
        <v>12.8</v>
      </c>
      <c r="BA36" s="32">
        <v>9.3000000000000007</v>
      </c>
      <c r="BE36" s="47">
        <v>5.6</v>
      </c>
      <c r="BF36" s="60">
        <v>1.2</v>
      </c>
      <c r="BG36" s="32">
        <v>0.7</v>
      </c>
      <c r="BH36" s="32">
        <v>100</v>
      </c>
      <c r="BI36" s="32">
        <v>82.4</v>
      </c>
      <c r="BJ36" s="32">
        <v>87.4</v>
      </c>
      <c r="BK36" s="32">
        <v>100</v>
      </c>
      <c r="BL36" s="32">
        <v>86.8</v>
      </c>
      <c r="BM36" s="32">
        <v>85.4</v>
      </c>
      <c r="BN36" s="47">
        <v>66.7</v>
      </c>
      <c r="BO36" s="32">
        <v>78.5</v>
      </c>
      <c r="BP36" s="32">
        <v>77</v>
      </c>
      <c r="BQ36" s="32">
        <v>100</v>
      </c>
      <c r="BR36" s="32">
        <v>86.5</v>
      </c>
      <c r="BS36" s="32">
        <v>86.3</v>
      </c>
      <c r="BT36" s="47">
        <v>0</v>
      </c>
      <c r="BU36" s="32">
        <v>-4.5</v>
      </c>
      <c r="BV36" s="32">
        <v>-5.9</v>
      </c>
      <c r="BW36" s="32">
        <v>6.9</v>
      </c>
      <c r="BX36" s="32">
        <v>8.1</v>
      </c>
      <c r="BY36" s="32">
        <v>8.9</v>
      </c>
      <c r="BZ36" s="63">
        <v>18.100000000000001</v>
      </c>
      <c r="CA36" s="63">
        <v>16.100000000000001</v>
      </c>
      <c r="CB36" s="63">
        <v>15.5</v>
      </c>
      <c r="CC36" s="32">
        <v>14.4</v>
      </c>
      <c r="CD36" s="32">
        <v>14.4</v>
      </c>
      <c r="CE36" s="32">
        <v>14.7</v>
      </c>
      <c r="CF36" s="32"/>
      <c r="CG36" s="32"/>
      <c r="CH36" s="32"/>
      <c r="CI36" s="33"/>
      <c r="CJ36" s="33"/>
      <c r="CK36" s="33"/>
      <c r="CL36" s="32">
        <v>15.8</v>
      </c>
      <c r="CM36" s="32">
        <v>51.7</v>
      </c>
      <c r="CN36" s="32">
        <v>75.599999999999994</v>
      </c>
      <c r="CO36" s="32">
        <v>6</v>
      </c>
      <c r="CP36" s="32">
        <v>5.6</v>
      </c>
      <c r="CQ36" s="32">
        <v>5.3</v>
      </c>
      <c r="CR36" s="64">
        <v>40.700000000000003</v>
      </c>
      <c r="CS36" s="64">
        <v>44.2</v>
      </c>
      <c r="CT36" s="64">
        <v>42.9</v>
      </c>
      <c r="CU36" s="32" t="str">
        <f t="shared" si="1"/>
        <v>9830472W</v>
      </c>
      <c r="CV36" s="47">
        <v>75.806451612903231</v>
      </c>
      <c r="CW36" s="47">
        <v>43.468715697036224</v>
      </c>
      <c r="CX36" s="47">
        <v>37.207235798159317</v>
      </c>
      <c r="DA36" s="68"/>
    </row>
    <row r="37" spans="1:105" x14ac:dyDescent="0.2">
      <c r="A37" s="30" t="s">
        <v>172</v>
      </c>
      <c r="B37" s="30" t="s">
        <v>85</v>
      </c>
      <c r="C37" s="30" t="s">
        <v>27</v>
      </c>
      <c r="D37" s="30" t="s">
        <v>131</v>
      </c>
      <c r="E37" s="30" t="s">
        <v>112</v>
      </c>
      <c r="F37" s="31">
        <v>898</v>
      </c>
      <c r="G37" s="31">
        <v>72</v>
      </c>
      <c r="H37" s="31">
        <v>13</v>
      </c>
      <c r="I37" s="31">
        <v>435</v>
      </c>
      <c r="J37" s="31">
        <v>62</v>
      </c>
      <c r="K37" s="31" t="s">
        <v>10</v>
      </c>
      <c r="L37" s="31">
        <v>462</v>
      </c>
      <c r="M37" s="33">
        <v>74</v>
      </c>
      <c r="N37" s="33" t="s">
        <v>10</v>
      </c>
      <c r="O37" s="31">
        <v>511</v>
      </c>
      <c r="P37" s="33">
        <v>79</v>
      </c>
      <c r="Q37" s="33" t="s">
        <v>10</v>
      </c>
      <c r="R37" s="47">
        <v>99.7</v>
      </c>
      <c r="S37" s="60">
        <v>121</v>
      </c>
      <c r="T37" s="60">
        <v>127</v>
      </c>
      <c r="U37" s="60">
        <v>56.4</v>
      </c>
      <c r="V37" s="60">
        <v>46.1</v>
      </c>
      <c r="W37" s="60">
        <v>45.8</v>
      </c>
      <c r="X37" s="60">
        <v>8.4</v>
      </c>
      <c r="Y37" s="60">
        <v>16.399999999999999</v>
      </c>
      <c r="Z37" s="60">
        <v>16.399999999999999</v>
      </c>
      <c r="AA37" s="47">
        <v>84.5</v>
      </c>
      <c r="AB37" s="60">
        <v>96.4</v>
      </c>
      <c r="AC37" s="47">
        <v>96.6</v>
      </c>
      <c r="AD37" s="47">
        <v>15.7</v>
      </c>
      <c r="AE37" s="60">
        <v>9.8000000000000007</v>
      </c>
      <c r="AF37" s="60">
        <v>10.7</v>
      </c>
      <c r="AG37" s="61">
        <v>57.1</v>
      </c>
      <c r="AH37" s="61">
        <v>46.9</v>
      </c>
      <c r="AI37" s="61">
        <v>47.6</v>
      </c>
      <c r="AJ37" s="61">
        <v>69.400000000000006</v>
      </c>
      <c r="AK37" s="61">
        <v>60.6</v>
      </c>
      <c r="AL37" s="61">
        <v>63.2</v>
      </c>
      <c r="AM37" s="62">
        <v>1.55</v>
      </c>
      <c r="AN37" s="62">
        <v>1.36</v>
      </c>
      <c r="AO37" s="62">
        <v>1.36</v>
      </c>
      <c r="AP37" s="47">
        <v>21.1</v>
      </c>
      <c r="AQ37" s="47">
        <v>22.4</v>
      </c>
      <c r="AR37" s="47">
        <v>22.1</v>
      </c>
      <c r="AS37" s="47">
        <v>42.9</v>
      </c>
      <c r="AT37" s="60">
        <v>56</v>
      </c>
      <c r="AU37" s="64">
        <v>53.8</v>
      </c>
      <c r="AV37" s="47">
        <v>40.200000000000003</v>
      </c>
      <c r="AW37" s="60">
        <v>29.5</v>
      </c>
      <c r="AX37" s="64">
        <v>30.7</v>
      </c>
      <c r="AY37" s="47">
        <v>5.4</v>
      </c>
      <c r="AZ37" s="60">
        <v>8.1999999999999993</v>
      </c>
      <c r="BA37" s="32">
        <v>9.3000000000000007</v>
      </c>
      <c r="BE37" s="47">
        <v>1.8</v>
      </c>
      <c r="BF37" s="60">
        <v>0.5</v>
      </c>
      <c r="BG37" s="32">
        <v>0.7</v>
      </c>
      <c r="BH37" s="32">
        <v>87</v>
      </c>
      <c r="BI37" s="32">
        <v>88.6</v>
      </c>
      <c r="BJ37" s="32">
        <v>87.4</v>
      </c>
      <c r="BK37" s="32">
        <v>79.5</v>
      </c>
      <c r="BL37" s="32">
        <v>84.9</v>
      </c>
      <c r="BM37" s="32">
        <v>85.4</v>
      </c>
      <c r="BN37" s="47">
        <v>72.7</v>
      </c>
      <c r="BO37" s="32">
        <v>76.2</v>
      </c>
      <c r="BP37" s="32">
        <v>77</v>
      </c>
      <c r="BQ37" s="32">
        <v>83.7</v>
      </c>
      <c r="BR37" s="32">
        <v>86.3</v>
      </c>
      <c r="BS37" s="32">
        <v>86.3</v>
      </c>
      <c r="BT37" s="47">
        <v>-4.9722479185938937</v>
      </c>
      <c r="BU37" s="32">
        <v>-6.3</v>
      </c>
      <c r="BV37" s="32">
        <v>-5.9</v>
      </c>
      <c r="BW37" s="32">
        <v>9.4</v>
      </c>
      <c r="BX37" s="32">
        <v>9.1</v>
      </c>
      <c r="BY37" s="32">
        <v>8.9</v>
      </c>
      <c r="BZ37" s="63">
        <v>15.6</v>
      </c>
      <c r="CA37" s="63">
        <v>15.946999999999999</v>
      </c>
      <c r="CB37" s="63">
        <v>15.5</v>
      </c>
      <c r="CC37" s="32">
        <v>13.6</v>
      </c>
      <c r="CD37" s="32">
        <v>14.8</v>
      </c>
      <c r="CE37" s="32">
        <v>14.7</v>
      </c>
      <c r="CF37" s="32"/>
      <c r="CG37" s="32"/>
      <c r="CH37" s="32"/>
      <c r="CI37" s="32"/>
      <c r="CK37" s="33"/>
      <c r="CL37" s="32">
        <v>84.6</v>
      </c>
      <c r="CM37" s="32">
        <v>82.6</v>
      </c>
      <c r="CN37" s="32">
        <v>75.599999999999994</v>
      </c>
      <c r="CO37" s="32">
        <v>4.2</v>
      </c>
      <c r="CP37" s="32">
        <v>5.2</v>
      </c>
      <c r="CQ37" s="32">
        <v>5.3</v>
      </c>
      <c r="CR37" s="64">
        <v>40.9</v>
      </c>
      <c r="CS37" s="64">
        <v>42.5</v>
      </c>
      <c r="CT37" s="64">
        <v>42.9</v>
      </c>
      <c r="CU37" s="32" t="str">
        <f t="shared" si="1"/>
        <v>9830474Y</v>
      </c>
      <c r="CV37" s="47">
        <v>37.878787878787875</v>
      </c>
      <c r="CW37" s="47">
        <v>35.323259846420605</v>
      </c>
      <c r="CX37" s="47">
        <v>37.207235798159317</v>
      </c>
      <c r="DA37" s="68"/>
    </row>
    <row r="38" spans="1:105" x14ac:dyDescent="0.2">
      <c r="A38" s="30" t="s">
        <v>173</v>
      </c>
      <c r="B38" s="30" t="s">
        <v>86</v>
      </c>
      <c r="C38" s="30" t="s">
        <v>27</v>
      </c>
      <c r="D38" s="30" t="s">
        <v>132</v>
      </c>
      <c r="E38" s="30" t="s">
        <v>112</v>
      </c>
      <c r="F38" s="31">
        <v>117</v>
      </c>
      <c r="G38" s="31" t="s">
        <v>10</v>
      </c>
      <c r="H38" s="31" t="s">
        <v>10</v>
      </c>
      <c r="I38" s="31">
        <v>101</v>
      </c>
      <c r="J38" s="31" t="s">
        <v>10</v>
      </c>
      <c r="K38" s="31" t="s">
        <v>10</v>
      </c>
      <c r="L38" s="31">
        <v>89</v>
      </c>
      <c r="M38" s="33" t="s">
        <v>10</v>
      </c>
      <c r="N38" s="33" t="s">
        <v>10</v>
      </c>
      <c r="O38" s="31">
        <v>85</v>
      </c>
      <c r="P38" s="33" t="s">
        <v>10</v>
      </c>
      <c r="Q38" s="33" t="s">
        <v>10</v>
      </c>
      <c r="R38" s="47">
        <v>152.19999999999999</v>
      </c>
      <c r="S38" s="60">
        <v>121</v>
      </c>
      <c r="T38" s="60">
        <v>127</v>
      </c>
      <c r="U38" s="60">
        <v>84.5</v>
      </c>
      <c r="V38" s="60">
        <v>46.1</v>
      </c>
      <c r="W38" s="60">
        <v>45.8</v>
      </c>
      <c r="X38" s="60">
        <v>7.1</v>
      </c>
      <c r="Y38" s="60">
        <v>16.399999999999999</v>
      </c>
      <c r="Z38" s="60">
        <v>16.399999999999999</v>
      </c>
      <c r="AA38" s="47">
        <v>77.599999999999994</v>
      </c>
      <c r="AB38" s="60">
        <v>96.4</v>
      </c>
      <c r="AC38" s="47">
        <v>96.6</v>
      </c>
      <c r="AD38" s="47">
        <v>20</v>
      </c>
      <c r="AE38" s="60">
        <v>9.8000000000000007</v>
      </c>
      <c r="AF38" s="60">
        <v>10.7</v>
      </c>
      <c r="AG38" s="61">
        <v>60</v>
      </c>
      <c r="AH38" s="61">
        <v>46.9</v>
      </c>
      <c r="AI38" s="61">
        <v>47.6</v>
      </c>
      <c r="AJ38" s="61">
        <v>70</v>
      </c>
      <c r="AK38" s="61">
        <v>60.6</v>
      </c>
      <c r="AL38" s="61">
        <v>63.2</v>
      </c>
      <c r="AM38" s="62">
        <v>1.85</v>
      </c>
      <c r="AN38" s="62">
        <v>1.36</v>
      </c>
      <c r="AO38" s="62">
        <v>1.36</v>
      </c>
      <c r="AP38" s="47">
        <v>14.8</v>
      </c>
      <c r="AQ38" s="47">
        <v>22.4</v>
      </c>
      <c r="AR38" s="47">
        <v>22.1</v>
      </c>
      <c r="AS38" s="47">
        <v>43.3</v>
      </c>
      <c r="AT38" s="60">
        <v>56</v>
      </c>
      <c r="AU38" s="64">
        <v>53.8</v>
      </c>
      <c r="AV38" s="47">
        <v>20</v>
      </c>
      <c r="AW38" s="60">
        <v>29.5</v>
      </c>
      <c r="AX38" s="64">
        <v>30.7</v>
      </c>
      <c r="AY38" s="47">
        <v>30</v>
      </c>
      <c r="AZ38" s="60">
        <v>8.1999999999999993</v>
      </c>
      <c r="BA38" s="32">
        <v>9.3000000000000007</v>
      </c>
      <c r="BE38" s="47">
        <v>0</v>
      </c>
      <c r="BF38" s="60">
        <v>0.5</v>
      </c>
      <c r="BG38" s="32">
        <v>0.7</v>
      </c>
      <c r="BH38" s="32">
        <v>22.2</v>
      </c>
      <c r="BI38" s="32">
        <v>88.6</v>
      </c>
      <c r="BJ38" s="32">
        <v>87.4</v>
      </c>
      <c r="BK38" s="32">
        <v>75</v>
      </c>
      <c r="BL38" s="32">
        <v>84.9</v>
      </c>
      <c r="BM38" s="32">
        <v>85.4</v>
      </c>
      <c r="BN38" s="47">
        <v>28.6</v>
      </c>
      <c r="BO38" s="32">
        <v>76.2</v>
      </c>
      <c r="BP38" s="32">
        <v>77</v>
      </c>
      <c r="BQ38" s="32">
        <v>92.9</v>
      </c>
      <c r="BR38" s="32">
        <v>86.3</v>
      </c>
      <c r="BS38" s="32">
        <v>86.3</v>
      </c>
      <c r="BT38" s="47">
        <v>-1.190476190476204</v>
      </c>
      <c r="BU38" s="32">
        <v>-6.3</v>
      </c>
      <c r="BV38" s="32">
        <v>-5.9</v>
      </c>
      <c r="BW38" s="32">
        <v>8.9</v>
      </c>
      <c r="BX38" s="32">
        <v>9.1</v>
      </c>
      <c r="BY38" s="32">
        <v>8.9</v>
      </c>
      <c r="BZ38" s="63">
        <v>17.7</v>
      </c>
      <c r="CA38" s="63">
        <v>15.946999999999999</v>
      </c>
      <c r="CB38" s="63">
        <v>15.5</v>
      </c>
      <c r="CC38" s="32">
        <v>14.3</v>
      </c>
      <c r="CD38" s="32">
        <v>14.8</v>
      </c>
      <c r="CE38" s="32">
        <v>14.7</v>
      </c>
      <c r="CF38" s="32"/>
      <c r="CG38" s="32"/>
      <c r="CH38" s="32"/>
      <c r="CI38" s="32"/>
      <c r="CK38" s="33"/>
      <c r="CL38" s="32">
        <v>52.4</v>
      </c>
      <c r="CM38" s="32">
        <v>82.6</v>
      </c>
      <c r="CN38" s="32">
        <v>75.599999999999994</v>
      </c>
      <c r="CO38" s="32">
        <v>4.4000000000000004</v>
      </c>
      <c r="CP38" s="32">
        <v>5.2</v>
      </c>
      <c r="CQ38" s="32">
        <v>5.3</v>
      </c>
      <c r="CR38" s="64">
        <v>40.799999999999997</v>
      </c>
      <c r="CS38" s="64">
        <v>42.5</v>
      </c>
      <c r="CT38" s="64">
        <v>42.9</v>
      </c>
      <c r="CU38" s="32" t="str">
        <f t="shared" si="1"/>
        <v>9830477B</v>
      </c>
      <c r="CV38" s="47">
        <v>43.820224719101127</v>
      </c>
      <c r="CW38" s="47">
        <v>35.323259846420605</v>
      </c>
      <c r="CX38" s="47">
        <v>37.207235798159317</v>
      </c>
      <c r="DA38" s="68"/>
    </row>
    <row r="39" spans="1:105" x14ac:dyDescent="0.2">
      <c r="A39" s="30" t="s">
        <v>174</v>
      </c>
      <c r="B39" s="30" t="s">
        <v>87</v>
      </c>
      <c r="C39" s="30" t="s">
        <v>27</v>
      </c>
      <c r="D39" s="30" t="s">
        <v>126</v>
      </c>
      <c r="E39" s="30" t="s">
        <v>112</v>
      </c>
      <c r="F39" s="31">
        <v>175</v>
      </c>
      <c r="G39" s="31">
        <v>46</v>
      </c>
      <c r="H39" s="31">
        <v>30</v>
      </c>
      <c r="I39" s="31">
        <v>126</v>
      </c>
      <c r="J39" s="31">
        <v>46</v>
      </c>
      <c r="K39" s="31" t="s">
        <v>10</v>
      </c>
      <c r="L39" s="31">
        <v>120</v>
      </c>
      <c r="M39" s="33">
        <v>52</v>
      </c>
      <c r="N39" s="33" t="s">
        <v>10</v>
      </c>
      <c r="O39" s="31">
        <v>118</v>
      </c>
      <c r="P39" s="33">
        <v>50</v>
      </c>
      <c r="Q39" s="33" t="s">
        <v>10</v>
      </c>
      <c r="R39" s="47">
        <v>164.3</v>
      </c>
      <c r="S39" s="60">
        <v>121</v>
      </c>
      <c r="T39" s="60">
        <v>127</v>
      </c>
      <c r="U39" s="60">
        <v>76.900000000000006</v>
      </c>
      <c r="V39" s="60">
        <v>46.1</v>
      </c>
      <c r="W39" s="60">
        <v>45.8</v>
      </c>
      <c r="X39" s="60">
        <v>3.6</v>
      </c>
      <c r="Y39" s="60">
        <v>16.399999999999999</v>
      </c>
      <c r="Z39" s="60">
        <v>16.399999999999999</v>
      </c>
      <c r="AA39" s="47">
        <v>69.099999999999994</v>
      </c>
      <c r="AB39" s="60">
        <v>96.4</v>
      </c>
      <c r="AC39" s="47">
        <v>96.6</v>
      </c>
      <c r="AD39" s="47">
        <v>16</v>
      </c>
      <c r="AE39" s="60">
        <v>9.8000000000000007</v>
      </c>
      <c r="AF39" s="60">
        <v>10.7</v>
      </c>
      <c r="AG39" s="61">
        <v>83.3</v>
      </c>
      <c r="AH39" s="61">
        <v>46.9</v>
      </c>
      <c r="AI39" s="61">
        <v>47.6</v>
      </c>
      <c r="AJ39" s="61">
        <v>89.2</v>
      </c>
      <c r="AK39" s="61">
        <v>60.6</v>
      </c>
      <c r="AL39" s="61">
        <v>63.2</v>
      </c>
      <c r="AM39" s="62">
        <v>2.0499999999999998</v>
      </c>
      <c r="AN39" s="62">
        <v>1.36</v>
      </c>
      <c r="AO39" s="62">
        <v>1.36</v>
      </c>
      <c r="AP39" s="47">
        <v>15.6</v>
      </c>
      <c r="AQ39" s="47">
        <v>22.4</v>
      </c>
      <c r="AR39" s="47">
        <v>22.1</v>
      </c>
      <c r="AS39" s="47">
        <v>16.7</v>
      </c>
      <c r="AT39" s="60">
        <v>56</v>
      </c>
      <c r="AU39" s="64">
        <v>53.8</v>
      </c>
      <c r="AV39" s="47">
        <v>60</v>
      </c>
      <c r="AW39" s="60">
        <v>29.5</v>
      </c>
      <c r="AX39" s="64">
        <v>30.7</v>
      </c>
      <c r="AY39" s="47">
        <v>16.7</v>
      </c>
      <c r="AZ39" s="60">
        <v>8.1999999999999993</v>
      </c>
      <c r="BA39" s="32">
        <v>9.3000000000000007</v>
      </c>
      <c r="BE39" s="47">
        <v>0</v>
      </c>
      <c r="BF39" s="60">
        <v>0.5</v>
      </c>
      <c r="BG39" s="32">
        <v>0.7</v>
      </c>
      <c r="BH39" s="32">
        <v>77.8</v>
      </c>
      <c r="BI39" s="32">
        <v>88.6</v>
      </c>
      <c r="BJ39" s="32">
        <v>87.4</v>
      </c>
      <c r="BK39" s="32">
        <v>82.4</v>
      </c>
      <c r="BL39" s="32">
        <v>84.9</v>
      </c>
      <c r="BM39" s="32">
        <v>85.4</v>
      </c>
      <c r="BN39" s="47">
        <v>50</v>
      </c>
      <c r="BO39" s="32">
        <v>76.2</v>
      </c>
      <c r="BP39" s="32">
        <v>77</v>
      </c>
      <c r="BQ39" s="32">
        <v>94.1</v>
      </c>
      <c r="BR39" s="32">
        <v>86.3</v>
      </c>
      <c r="BS39" s="32">
        <v>86.3</v>
      </c>
      <c r="BT39" s="47">
        <v>-1.5250544662309267</v>
      </c>
      <c r="BU39" s="32">
        <v>-6.3</v>
      </c>
      <c r="BV39" s="32">
        <v>-5.9</v>
      </c>
      <c r="BW39" s="32">
        <v>6.7</v>
      </c>
      <c r="BX39" s="32">
        <v>9.1</v>
      </c>
      <c r="BY39" s="32">
        <v>8.9</v>
      </c>
      <c r="BZ39" s="63">
        <v>16.5</v>
      </c>
      <c r="CA39" s="63">
        <v>15.946999999999999</v>
      </c>
      <c r="CB39" s="63">
        <v>15.5</v>
      </c>
      <c r="CC39" s="32">
        <v>13.9</v>
      </c>
      <c r="CD39" s="32">
        <v>14.8</v>
      </c>
      <c r="CE39" s="32">
        <v>14.7</v>
      </c>
      <c r="CF39" s="32"/>
      <c r="CG39" s="32"/>
      <c r="CH39" s="32"/>
      <c r="CI39" s="32"/>
      <c r="CK39" s="33"/>
      <c r="CL39" s="32">
        <v>65.3</v>
      </c>
      <c r="CM39" s="32">
        <v>82.6</v>
      </c>
      <c r="CN39" s="32">
        <v>75.599999999999994</v>
      </c>
      <c r="CO39" s="32">
        <v>3.2</v>
      </c>
      <c r="CP39" s="32">
        <v>5.2</v>
      </c>
      <c r="CQ39" s="32">
        <v>5.3</v>
      </c>
      <c r="CR39" s="64">
        <v>43.8</v>
      </c>
      <c r="CS39" s="64">
        <v>42.5</v>
      </c>
      <c r="CT39" s="64">
        <v>42.9</v>
      </c>
      <c r="CU39" s="32" t="str">
        <f t="shared" si="1"/>
        <v>9830482G</v>
      </c>
      <c r="CV39" s="47">
        <v>108.33333333333333</v>
      </c>
      <c r="CW39" s="47">
        <v>35.323259846420605</v>
      </c>
      <c r="CX39" s="47">
        <v>37.207235798159317</v>
      </c>
      <c r="DA39" s="68"/>
    </row>
    <row r="40" spans="1:105" x14ac:dyDescent="0.2">
      <c r="A40" s="30" t="s">
        <v>175</v>
      </c>
      <c r="B40" s="30" t="s">
        <v>88</v>
      </c>
      <c r="C40" s="30" t="s">
        <v>27</v>
      </c>
      <c r="D40" s="30" t="s">
        <v>135</v>
      </c>
      <c r="E40" s="30" t="s">
        <v>112</v>
      </c>
      <c r="F40" s="31">
        <v>180</v>
      </c>
      <c r="G40" s="31" t="s">
        <v>10</v>
      </c>
      <c r="H40" s="31" t="s">
        <v>10</v>
      </c>
      <c r="I40" s="31">
        <v>140</v>
      </c>
      <c r="J40" s="31" t="s">
        <v>10</v>
      </c>
      <c r="K40" s="31" t="s">
        <v>10</v>
      </c>
      <c r="L40" s="31">
        <v>150</v>
      </c>
      <c r="M40" s="33" t="s">
        <v>10</v>
      </c>
      <c r="N40" s="33" t="s">
        <v>10</v>
      </c>
      <c r="O40" s="31">
        <v>150</v>
      </c>
      <c r="P40" s="33" t="s">
        <v>10</v>
      </c>
      <c r="Q40" s="33" t="s">
        <v>10</v>
      </c>
      <c r="R40" s="47">
        <v>129.80000000000001</v>
      </c>
      <c r="S40" s="60">
        <v>121</v>
      </c>
      <c r="T40" s="60">
        <v>127</v>
      </c>
      <c r="U40" s="60">
        <v>59.3</v>
      </c>
      <c r="V40" s="60">
        <v>46.1</v>
      </c>
      <c r="W40" s="60">
        <v>45.8</v>
      </c>
      <c r="X40" s="60">
        <v>6.7</v>
      </c>
      <c r="Y40" s="60">
        <v>16.399999999999999</v>
      </c>
      <c r="Z40" s="60">
        <v>16.399999999999999</v>
      </c>
      <c r="AA40" s="47">
        <v>79.3</v>
      </c>
      <c r="AB40" s="60">
        <v>96.4</v>
      </c>
      <c r="AC40" s="47">
        <v>96.6</v>
      </c>
      <c r="AD40" s="47">
        <v>2.2000000000000002</v>
      </c>
      <c r="AE40" s="60">
        <v>9.8000000000000007</v>
      </c>
      <c r="AF40" s="60">
        <v>10.7</v>
      </c>
      <c r="AG40" s="61">
        <v>73.3</v>
      </c>
      <c r="AH40" s="61">
        <v>46.9</v>
      </c>
      <c r="AI40" s="61">
        <v>47.6</v>
      </c>
      <c r="AJ40" s="61">
        <v>75</v>
      </c>
      <c r="AK40" s="61">
        <v>60.6</v>
      </c>
      <c r="AL40" s="61">
        <v>63.2</v>
      </c>
      <c r="AM40" s="62">
        <v>1.64</v>
      </c>
      <c r="AN40" s="62">
        <v>1.36</v>
      </c>
      <c r="AO40" s="62">
        <v>1.36</v>
      </c>
      <c r="AP40" s="47">
        <v>17</v>
      </c>
      <c r="AQ40" s="47">
        <v>22.4</v>
      </c>
      <c r="AR40" s="47">
        <v>22.1</v>
      </c>
      <c r="AS40" s="47">
        <v>38.200000000000003</v>
      </c>
      <c r="AT40" s="60">
        <v>56</v>
      </c>
      <c r="AU40" s="64">
        <v>53.8</v>
      </c>
      <c r="AV40" s="47">
        <v>32.4</v>
      </c>
      <c r="AW40" s="60">
        <v>29.5</v>
      </c>
      <c r="AX40" s="64">
        <v>30.7</v>
      </c>
      <c r="AY40" s="47">
        <v>17.600000000000001</v>
      </c>
      <c r="AZ40" s="60">
        <v>8.1999999999999993</v>
      </c>
      <c r="BA40" s="32">
        <v>9.3000000000000007</v>
      </c>
      <c r="BE40" s="47">
        <v>0</v>
      </c>
      <c r="BF40" s="60">
        <v>0.5</v>
      </c>
      <c r="BG40" s="32">
        <v>0.7</v>
      </c>
      <c r="BH40" s="32">
        <v>71.400000000000006</v>
      </c>
      <c r="BI40" s="32">
        <v>88.6</v>
      </c>
      <c r="BJ40" s="32">
        <v>87.4</v>
      </c>
      <c r="BK40" s="32">
        <v>75</v>
      </c>
      <c r="BL40" s="32">
        <v>84.9</v>
      </c>
      <c r="BM40" s="32">
        <v>85.4</v>
      </c>
      <c r="BN40" s="47">
        <v>63.6</v>
      </c>
      <c r="BO40" s="32">
        <v>76.2</v>
      </c>
      <c r="BP40" s="32">
        <v>77</v>
      </c>
      <c r="BQ40" s="32">
        <v>73.3</v>
      </c>
      <c r="BR40" s="32">
        <v>86.3</v>
      </c>
      <c r="BS40" s="32">
        <v>86.3</v>
      </c>
      <c r="BT40" s="47">
        <v>-4.9122807017543835</v>
      </c>
      <c r="BU40" s="32">
        <v>-6.3</v>
      </c>
      <c r="BV40" s="32">
        <v>-5.9</v>
      </c>
      <c r="BW40" s="32">
        <v>6.1</v>
      </c>
      <c r="BX40" s="32">
        <v>9.1</v>
      </c>
      <c r="BY40" s="32">
        <v>8.9</v>
      </c>
      <c r="BZ40" s="63">
        <v>13.9</v>
      </c>
      <c r="CA40" s="63">
        <v>15.946999999999999</v>
      </c>
      <c r="CB40" s="63">
        <v>15.5</v>
      </c>
      <c r="CC40" s="32">
        <v>13.9</v>
      </c>
      <c r="CD40" s="32">
        <v>14.8</v>
      </c>
      <c r="CE40" s="32">
        <v>14.7</v>
      </c>
      <c r="CF40" s="32"/>
      <c r="CG40" s="32"/>
      <c r="CH40" s="32"/>
      <c r="CI40" s="32"/>
      <c r="CK40" s="33"/>
      <c r="CL40" s="32">
        <v>84.2</v>
      </c>
      <c r="CM40" s="32">
        <v>82.6</v>
      </c>
      <c r="CN40" s="32">
        <v>75.599999999999994</v>
      </c>
      <c r="CO40" s="32">
        <v>2.2999999999999998</v>
      </c>
      <c r="CP40" s="32">
        <v>5.2</v>
      </c>
      <c r="CQ40" s="32">
        <v>5.3</v>
      </c>
      <c r="CR40" s="64">
        <v>41</v>
      </c>
      <c r="CS40" s="64">
        <v>42.5</v>
      </c>
      <c r="CT40" s="64">
        <v>42.9</v>
      </c>
      <c r="CU40" s="32" t="str">
        <f t="shared" si="1"/>
        <v>9830493U</v>
      </c>
      <c r="CV40" s="47">
        <v>46</v>
      </c>
      <c r="CW40" s="47">
        <v>35.323259846420605</v>
      </c>
      <c r="CX40" s="47">
        <v>37.207235798159317</v>
      </c>
      <c r="DA40" s="68"/>
    </row>
    <row r="41" spans="1:105" x14ac:dyDescent="0.2">
      <c r="A41" s="30" t="s">
        <v>176</v>
      </c>
      <c r="B41" s="30" t="s">
        <v>89</v>
      </c>
      <c r="C41" s="30" t="s">
        <v>104</v>
      </c>
      <c r="D41" s="30" t="s">
        <v>133</v>
      </c>
      <c r="E41" s="30" t="s">
        <v>113</v>
      </c>
      <c r="F41" s="31">
        <v>130</v>
      </c>
      <c r="G41" s="31" t="s">
        <v>10</v>
      </c>
      <c r="H41" s="31" t="s">
        <v>10</v>
      </c>
      <c r="I41" s="31">
        <v>78</v>
      </c>
      <c r="J41" s="31" t="s">
        <v>10</v>
      </c>
      <c r="K41" s="31" t="s">
        <v>10</v>
      </c>
      <c r="L41" s="31">
        <v>76</v>
      </c>
      <c r="M41" s="33" t="s">
        <v>10</v>
      </c>
      <c r="N41" s="33" t="s">
        <v>10</v>
      </c>
      <c r="O41" s="31">
        <v>85</v>
      </c>
      <c r="P41" s="33" t="s">
        <v>10</v>
      </c>
      <c r="Q41" s="33" t="s">
        <v>10</v>
      </c>
      <c r="R41" s="47">
        <v>182.8</v>
      </c>
      <c r="S41" s="60">
        <v>136.80000000000001</v>
      </c>
      <c r="T41" s="60">
        <v>127</v>
      </c>
      <c r="U41" s="60">
        <v>67.099999999999994</v>
      </c>
      <c r="V41" s="60">
        <v>44.7</v>
      </c>
      <c r="W41" s="60">
        <v>45.8</v>
      </c>
      <c r="X41" s="60">
        <v>10.5</v>
      </c>
      <c r="Y41" s="60">
        <v>16.3</v>
      </c>
      <c r="Z41" s="60">
        <v>16.399999999999999</v>
      </c>
      <c r="AA41" s="47">
        <v>84.9</v>
      </c>
      <c r="AB41" s="60">
        <v>97.3</v>
      </c>
      <c r="AC41" s="47">
        <v>96.6</v>
      </c>
      <c r="AD41" s="47">
        <v>7.7</v>
      </c>
      <c r="AE41" s="60">
        <v>13.8</v>
      </c>
      <c r="AF41" s="60">
        <v>10.7</v>
      </c>
      <c r="AG41" s="61">
        <v>60</v>
      </c>
      <c r="AH41" s="61">
        <v>49.9</v>
      </c>
      <c r="AI41" s="61">
        <v>47.6</v>
      </c>
      <c r="AJ41" s="61">
        <v>90</v>
      </c>
      <c r="AK41" s="61">
        <v>72.099999999999994</v>
      </c>
      <c r="AL41" s="61">
        <v>63.2</v>
      </c>
      <c r="AM41" s="62">
        <v>1.54</v>
      </c>
      <c r="AN41" s="62">
        <v>1.38</v>
      </c>
      <c r="AO41" s="62">
        <v>1.36</v>
      </c>
      <c r="AP41" s="47">
        <v>19</v>
      </c>
      <c r="AQ41" s="47">
        <v>21.2</v>
      </c>
      <c r="AR41" s="47">
        <v>22.1</v>
      </c>
      <c r="AS41" s="47">
        <v>5.6</v>
      </c>
      <c r="AT41" s="60">
        <v>46.4</v>
      </c>
      <c r="AU41" s="64">
        <v>53.8</v>
      </c>
      <c r="AV41" s="47">
        <v>38.9</v>
      </c>
      <c r="AW41" s="60">
        <v>34.4</v>
      </c>
      <c r="AX41" s="64">
        <v>30.7</v>
      </c>
      <c r="AY41" s="47">
        <v>33.299999999999997</v>
      </c>
      <c r="AZ41" s="60">
        <v>12.8</v>
      </c>
      <c r="BA41" s="32">
        <v>9.3000000000000007</v>
      </c>
      <c r="BE41" s="47">
        <v>0</v>
      </c>
      <c r="BF41" s="60">
        <v>1.2</v>
      </c>
      <c r="BG41" s="32">
        <v>0.7</v>
      </c>
      <c r="BH41" s="32">
        <v>25</v>
      </c>
      <c r="BI41" s="32">
        <v>82.4</v>
      </c>
      <c r="BJ41" s="32">
        <v>87.4</v>
      </c>
      <c r="BK41" s="32">
        <v>85.7</v>
      </c>
      <c r="BL41" s="32">
        <v>86.8</v>
      </c>
      <c r="BM41" s="32">
        <v>85.4</v>
      </c>
      <c r="BN41" s="47">
        <v>75</v>
      </c>
      <c r="BO41" s="32">
        <v>78.5</v>
      </c>
      <c r="BP41" s="32">
        <v>77</v>
      </c>
      <c r="BQ41" s="32">
        <v>93.3</v>
      </c>
      <c r="BR41" s="32">
        <v>86.5</v>
      </c>
      <c r="BS41" s="32">
        <v>86.3</v>
      </c>
      <c r="BT41" s="47">
        <v>6.6666666666666714</v>
      </c>
      <c r="BU41" s="32">
        <v>-4.5</v>
      </c>
      <c r="BV41" s="32">
        <v>-5.9</v>
      </c>
      <c r="BW41" s="32">
        <v>6.4</v>
      </c>
      <c r="BX41" s="32">
        <v>8.1</v>
      </c>
      <c r="BY41" s="32">
        <v>8.9</v>
      </c>
      <c r="BZ41" s="63">
        <v>18.600000000000001</v>
      </c>
      <c r="CA41" s="63">
        <v>16.100000000000001</v>
      </c>
      <c r="CB41" s="63">
        <v>15.5</v>
      </c>
      <c r="CC41" s="32">
        <v>14.7</v>
      </c>
      <c r="CD41" s="32">
        <v>14.4</v>
      </c>
      <c r="CE41" s="32">
        <v>14.7</v>
      </c>
      <c r="CF41" s="32"/>
      <c r="CG41" s="32"/>
      <c r="CH41" s="32"/>
      <c r="CI41" s="33"/>
      <c r="CJ41" s="33"/>
      <c r="CK41" s="33"/>
      <c r="CL41" s="32">
        <v>28.4</v>
      </c>
      <c r="CM41" s="32">
        <v>51.7</v>
      </c>
      <c r="CN41" s="32">
        <v>75.599999999999994</v>
      </c>
      <c r="CO41" s="32">
        <v>5.4</v>
      </c>
      <c r="CP41" s="32">
        <v>5.6</v>
      </c>
      <c r="CQ41" s="32">
        <v>5.3</v>
      </c>
      <c r="CR41" s="64">
        <v>38.799999999999997</v>
      </c>
      <c r="CS41" s="64">
        <v>44.2</v>
      </c>
      <c r="CT41" s="64">
        <v>42.9</v>
      </c>
      <c r="CU41" s="32" t="str">
        <f t="shared" si="1"/>
        <v>9830518W</v>
      </c>
      <c r="CV41" s="47">
        <v>55.26315789473685</v>
      </c>
      <c r="CW41" s="47">
        <v>43.468715697036224</v>
      </c>
      <c r="CX41" s="47">
        <v>37.207235798159317</v>
      </c>
      <c r="DA41" s="68"/>
    </row>
    <row r="42" spans="1:105" x14ac:dyDescent="0.2">
      <c r="A42" s="30" t="s">
        <v>177</v>
      </c>
      <c r="B42" s="30" t="s">
        <v>90</v>
      </c>
      <c r="C42" s="30" t="s">
        <v>27</v>
      </c>
      <c r="D42" s="30" t="s">
        <v>136</v>
      </c>
      <c r="E42" s="30" t="s">
        <v>112</v>
      </c>
      <c r="F42" s="31">
        <v>253</v>
      </c>
      <c r="G42" s="31" t="s">
        <v>10</v>
      </c>
      <c r="H42" s="31" t="s">
        <v>10</v>
      </c>
      <c r="I42" s="31">
        <v>151</v>
      </c>
      <c r="J42" s="31" t="s">
        <v>10</v>
      </c>
      <c r="K42" s="31" t="s">
        <v>10</v>
      </c>
      <c r="L42" s="31">
        <v>159</v>
      </c>
      <c r="M42" s="33" t="s">
        <v>10</v>
      </c>
      <c r="N42" s="33" t="s">
        <v>10</v>
      </c>
      <c r="O42" s="31">
        <v>166</v>
      </c>
      <c r="P42" s="33" t="s">
        <v>10</v>
      </c>
      <c r="Q42" s="33" t="s">
        <v>10</v>
      </c>
      <c r="R42" s="47">
        <v>157.19999999999999</v>
      </c>
      <c r="S42" s="60">
        <v>121</v>
      </c>
      <c r="T42" s="60">
        <v>127</v>
      </c>
      <c r="U42" s="60">
        <v>66</v>
      </c>
      <c r="V42" s="60">
        <v>46.1</v>
      </c>
      <c r="W42" s="60">
        <v>45.8</v>
      </c>
      <c r="X42" s="60">
        <v>3.8</v>
      </c>
      <c r="Y42" s="60">
        <v>16.399999999999999</v>
      </c>
      <c r="Z42" s="60">
        <v>16.399999999999999</v>
      </c>
      <c r="AA42" s="47">
        <v>75.5</v>
      </c>
      <c r="AB42" s="60">
        <v>96.4</v>
      </c>
      <c r="AC42" s="47">
        <v>96.6</v>
      </c>
      <c r="AD42" s="47">
        <v>9.1</v>
      </c>
      <c r="AE42" s="60">
        <v>9.8000000000000007</v>
      </c>
      <c r="AF42" s="60">
        <v>10.7</v>
      </c>
      <c r="AG42" s="61">
        <v>70.5</v>
      </c>
      <c r="AH42" s="61">
        <v>46.9</v>
      </c>
      <c r="AI42" s="61">
        <v>47.6</v>
      </c>
      <c r="AJ42" s="61">
        <v>81.8</v>
      </c>
      <c r="AK42" s="61">
        <v>60.6</v>
      </c>
      <c r="AL42" s="61">
        <v>63.2</v>
      </c>
      <c r="AM42" s="62">
        <v>1.39</v>
      </c>
      <c r="AN42" s="62">
        <v>1.36</v>
      </c>
      <c r="AO42" s="62">
        <v>1.36</v>
      </c>
      <c r="AP42" s="47">
        <v>21</v>
      </c>
      <c r="AQ42" s="47">
        <v>22.4</v>
      </c>
      <c r="AR42" s="47">
        <v>22.1</v>
      </c>
      <c r="AS42" s="47">
        <v>55.6</v>
      </c>
      <c r="AT42" s="60">
        <v>56</v>
      </c>
      <c r="AU42" s="64">
        <v>53.8</v>
      </c>
      <c r="AV42" s="47">
        <v>27.8</v>
      </c>
      <c r="AW42" s="60">
        <v>29.5</v>
      </c>
      <c r="AX42" s="64">
        <v>30.7</v>
      </c>
      <c r="AY42" s="47">
        <v>8.3000000000000007</v>
      </c>
      <c r="AZ42" s="60">
        <v>8.1999999999999993</v>
      </c>
      <c r="BA42" s="32">
        <v>9.3000000000000007</v>
      </c>
      <c r="BE42" s="47">
        <v>2.8</v>
      </c>
      <c r="BF42" s="60">
        <v>0.5</v>
      </c>
      <c r="BG42" s="32">
        <v>0.7</v>
      </c>
      <c r="BH42" s="32">
        <v>94.1</v>
      </c>
      <c r="BI42" s="32">
        <v>88.6</v>
      </c>
      <c r="BJ42" s="32">
        <v>87.4</v>
      </c>
      <c r="BK42" s="32">
        <v>100</v>
      </c>
      <c r="BL42" s="32">
        <v>84.9</v>
      </c>
      <c r="BM42" s="32">
        <v>85.4</v>
      </c>
      <c r="BN42" s="47">
        <v>75</v>
      </c>
      <c r="BO42" s="32">
        <v>76.2</v>
      </c>
      <c r="BP42" s="32">
        <v>77</v>
      </c>
      <c r="BQ42" s="32">
        <v>85</v>
      </c>
      <c r="BR42" s="32">
        <v>86.3</v>
      </c>
      <c r="BS42" s="32">
        <v>86.3</v>
      </c>
      <c r="BT42" s="47">
        <v>-6.4285714285714306</v>
      </c>
      <c r="BU42" s="32">
        <v>-6.3</v>
      </c>
      <c r="BV42" s="32">
        <v>-5.9</v>
      </c>
      <c r="BW42" s="32">
        <v>7.7</v>
      </c>
      <c r="BX42" s="32">
        <v>9.1</v>
      </c>
      <c r="BY42" s="32">
        <v>8.9</v>
      </c>
      <c r="BZ42" s="63">
        <v>14.8</v>
      </c>
      <c r="CA42" s="63">
        <v>15.36</v>
      </c>
      <c r="CB42" s="63">
        <v>15.5</v>
      </c>
      <c r="CC42" s="32">
        <v>15.1</v>
      </c>
      <c r="CD42" s="32">
        <v>14.8</v>
      </c>
      <c r="CE42" s="32">
        <v>14.7</v>
      </c>
      <c r="CF42" s="32"/>
      <c r="CG42" s="32"/>
      <c r="CH42" s="32"/>
      <c r="CI42" s="32"/>
      <c r="CK42" s="33"/>
      <c r="CL42" s="32">
        <v>57.4</v>
      </c>
      <c r="CM42" s="32">
        <v>82.6</v>
      </c>
      <c r="CN42" s="32">
        <v>75.599999999999994</v>
      </c>
      <c r="CO42" s="32">
        <v>3.1</v>
      </c>
      <c r="CP42" s="32">
        <v>5.2</v>
      </c>
      <c r="CQ42" s="32">
        <v>5.3</v>
      </c>
      <c r="CR42" s="64">
        <v>37.799999999999997</v>
      </c>
      <c r="CS42" s="64">
        <v>42.5</v>
      </c>
      <c r="CT42" s="64">
        <v>42.9</v>
      </c>
      <c r="CU42" s="32" t="str">
        <f t="shared" si="1"/>
        <v>9830522A</v>
      </c>
      <c r="CV42" s="47">
        <v>70.440251572327043</v>
      </c>
      <c r="CW42" s="47">
        <v>35.323259846420605</v>
      </c>
      <c r="CX42" s="47">
        <v>37.207235798159317</v>
      </c>
      <c r="DA42" s="68"/>
    </row>
    <row r="43" spans="1:105" x14ac:dyDescent="0.2">
      <c r="A43" s="30" t="s">
        <v>178</v>
      </c>
      <c r="B43" s="30" t="s">
        <v>91</v>
      </c>
      <c r="C43" s="30" t="s">
        <v>27</v>
      </c>
      <c r="D43" s="30" t="s">
        <v>43</v>
      </c>
      <c r="E43" s="30" t="s">
        <v>112</v>
      </c>
      <c r="F43" s="31">
        <v>728</v>
      </c>
      <c r="G43" s="31" t="s">
        <v>10</v>
      </c>
      <c r="H43" s="31" t="s">
        <v>10</v>
      </c>
      <c r="I43" s="31">
        <v>408</v>
      </c>
      <c r="J43" s="31" t="s">
        <v>10</v>
      </c>
      <c r="K43" s="31" t="s">
        <v>10</v>
      </c>
      <c r="L43" s="31">
        <v>420</v>
      </c>
      <c r="M43" s="33" t="s">
        <v>10</v>
      </c>
      <c r="N43" s="33" t="s">
        <v>10</v>
      </c>
      <c r="O43" s="31">
        <v>370</v>
      </c>
      <c r="P43" s="33" t="s">
        <v>10</v>
      </c>
      <c r="Q43" s="33" t="s">
        <v>10</v>
      </c>
      <c r="R43" s="47">
        <v>101.6</v>
      </c>
      <c r="S43" s="60">
        <v>121</v>
      </c>
      <c r="T43" s="60">
        <v>127</v>
      </c>
      <c r="U43" s="60">
        <v>57.9</v>
      </c>
      <c r="V43" s="60">
        <v>46.1</v>
      </c>
      <c r="W43" s="60">
        <v>45.8</v>
      </c>
      <c r="X43" s="60">
        <v>4.5</v>
      </c>
      <c r="Y43" s="60">
        <v>16.399999999999999</v>
      </c>
      <c r="Z43" s="60">
        <v>16.399999999999999</v>
      </c>
      <c r="AA43" s="47">
        <v>80.400000000000006</v>
      </c>
      <c r="AB43" s="60">
        <v>96.4</v>
      </c>
      <c r="AC43" s="47">
        <v>96.6</v>
      </c>
      <c r="AD43" s="47">
        <v>8.8000000000000007</v>
      </c>
      <c r="AE43" s="60">
        <v>9.8000000000000007</v>
      </c>
      <c r="AF43" s="60">
        <v>10.7</v>
      </c>
      <c r="AG43" s="61">
        <v>53.9</v>
      </c>
      <c r="AH43" s="61">
        <v>46.9</v>
      </c>
      <c r="AI43" s="61">
        <v>47.6</v>
      </c>
      <c r="AJ43" s="61">
        <v>78.400000000000006</v>
      </c>
      <c r="AK43" s="61">
        <v>60.6</v>
      </c>
      <c r="AL43" s="61">
        <v>63.2</v>
      </c>
      <c r="AM43" s="62">
        <v>1.32</v>
      </c>
      <c r="AN43" s="62">
        <v>1.36</v>
      </c>
      <c r="AO43" s="62">
        <v>1.36</v>
      </c>
      <c r="AP43" s="47">
        <v>22.1</v>
      </c>
      <c r="AQ43" s="47">
        <v>22.4</v>
      </c>
      <c r="AR43" s="47">
        <v>22.1</v>
      </c>
      <c r="AS43" s="47">
        <v>37</v>
      </c>
      <c r="AT43" s="60">
        <v>56</v>
      </c>
      <c r="AU43" s="64">
        <v>53.8</v>
      </c>
      <c r="AV43" s="47">
        <v>53.3</v>
      </c>
      <c r="AW43" s="60">
        <v>29.5</v>
      </c>
      <c r="AX43" s="64">
        <v>30.7</v>
      </c>
      <c r="AY43" s="47">
        <v>5.4</v>
      </c>
      <c r="AZ43" s="60">
        <v>8.1999999999999993</v>
      </c>
      <c r="BA43" s="32">
        <v>9.3000000000000007</v>
      </c>
      <c r="BE43" s="47">
        <v>0</v>
      </c>
      <c r="BF43" s="60">
        <v>0.5</v>
      </c>
      <c r="BG43" s="32">
        <v>0.7</v>
      </c>
      <c r="BH43" s="32">
        <v>78.599999999999994</v>
      </c>
      <c r="BI43" s="32">
        <v>88.6</v>
      </c>
      <c r="BJ43" s="32">
        <v>87.4</v>
      </c>
      <c r="BK43" s="32">
        <v>82.1</v>
      </c>
      <c r="BL43" s="32">
        <v>84.9</v>
      </c>
      <c r="BM43" s="32">
        <v>85.4</v>
      </c>
      <c r="BN43" s="47">
        <v>80</v>
      </c>
      <c r="BO43" s="32">
        <v>76.2</v>
      </c>
      <c r="BP43" s="32">
        <v>77</v>
      </c>
      <c r="BQ43" s="32">
        <v>77.5</v>
      </c>
      <c r="BR43" s="32">
        <v>86.3</v>
      </c>
      <c r="BS43" s="32">
        <v>86.3</v>
      </c>
      <c r="BT43" s="47">
        <v>-0.98039215686274872</v>
      </c>
      <c r="BU43" s="32">
        <v>-6.3</v>
      </c>
      <c r="BV43" s="32">
        <v>-5.9</v>
      </c>
      <c r="BW43" s="32">
        <v>6.6</v>
      </c>
      <c r="BX43" s="32">
        <v>9.1</v>
      </c>
      <c r="BY43" s="32">
        <v>8.9</v>
      </c>
      <c r="BZ43" s="63">
        <v>14.9</v>
      </c>
      <c r="CA43" s="63">
        <v>15.36</v>
      </c>
      <c r="CB43" s="63">
        <v>15.5</v>
      </c>
      <c r="CC43" s="32">
        <v>14.4</v>
      </c>
      <c r="CD43" s="32">
        <v>14.8</v>
      </c>
      <c r="CE43" s="32">
        <v>14.7</v>
      </c>
      <c r="CF43" s="32"/>
      <c r="CG43" s="32"/>
      <c r="CH43" s="32"/>
      <c r="CI43" s="32"/>
      <c r="CK43" s="33"/>
      <c r="CL43" s="32">
        <v>92.7</v>
      </c>
      <c r="CM43" s="32">
        <v>82.6</v>
      </c>
      <c r="CN43" s="32">
        <v>75.599999999999994</v>
      </c>
      <c r="CO43" s="32">
        <v>4.2</v>
      </c>
      <c r="CP43" s="32">
        <v>5.2</v>
      </c>
      <c r="CQ43" s="32">
        <v>5.3</v>
      </c>
      <c r="CR43" s="64">
        <v>41.9</v>
      </c>
      <c r="CS43" s="64">
        <v>42.5</v>
      </c>
      <c r="CT43" s="64">
        <v>42.9</v>
      </c>
      <c r="CU43" s="32" t="str">
        <f t="shared" si="1"/>
        <v>9830524C</v>
      </c>
      <c r="CV43" s="47">
        <v>53.095238095238095</v>
      </c>
      <c r="CW43" s="47">
        <v>35.323259846420605</v>
      </c>
      <c r="CX43" s="47">
        <v>37.207235798159317</v>
      </c>
      <c r="DA43" s="68"/>
    </row>
    <row r="44" spans="1:105" x14ac:dyDescent="0.2">
      <c r="A44" s="30" t="s">
        <v>179</v>
      </c>
      <c r="B44" s="30" t="s">
        <v>92</v>
      </c>
      <c r="C44" s="30" t="s">
        <v>27</v>
      </c>
      <c r="D44" s="30" t="s">
        <v>43</v>
      </c>
      <c r="E44" s="30" t="s">
        <v>112</v>
      </c>
      <c r="F44" s="31">
        <v>542</v>
      </c>
      <c r="G44" s="31">
        <v>70</v>
      </c>
      <c r="H44" s="31">
        <v>7</v>
      </c>
      <c r="I44" s="31">
        <v>465</v>
      </c>
      <c r="J44" s="31">
        <v>56</v>
      </c>
      <c r="K44" s="31" t="s">
        <v>10</v>
      </c>
      <c r="L44" s="31">
        <v>477</v>
      </c>
      <c r="M44" s="33">
        <v>67</v>
      </c>
      <c r="N44" s="33" t="s">
        <v>10</v>
      </c>
      <c r="O44" s="31">
        <v>467</v>
      </c>
      <c r="P44" s="33">
        <v>72</v>
      </c>
      <c r="Q44" s="33" t="s">
        <v>10</v>
      </c>
      <c r="R44" s="47">
        <v>99.5</v>
      </c>
      <c r="S44" s="60">
        <v>121</v>
      </c>
      <c r="T44" s="60">
        <v>127</v>
      </c>
      <c r="U44" s="60">
        <v>38.799999999999997</v>
      </c>
      <c r="V44" s="60">
        <v>46.1</v>
      </c>
      <c r="W44" s="60">
        <v>45.8</v>
      </c>
      <c r="X44" s="60">
        <v>15.3</v>
      </c>
      <c r="Y44" s="60">
        <v>16.399999999999999</v>
      </c>
      <c r="Z44" s="60">
        <v>16.399999999999999</v>
      </c>
      <c r="AA44" s="47">
        <v>100.5</v>
      </c>
      <c r="AB44" s="60">
        <v>96.4</v>
      </c>
      <c r="AC44" s="47">
        <v>96.6</v>
      </c>
      <c r="AD44" s="47">
        <v>6.5</v>
      </c>
      <c r="AE44" s="60">
        <v>9.8000000000000007</v>
      </c>
      <c r="AF44" s="60">
        <v>10.7</v>
      </c>
      <c r="AG44" s="61">
        <v>35.700000000000003</v>
      </c>
      <c r="AH44" s="61">
        <v>46.9</v>
      </c>
      <c r="AI44" s="61">
        <v>47.6</v>
      </c>
      <c r="AJ44" s="61">
        <v>50.3</v>
      </c>
      <c r="AK44" s="61">
        <v>60.6</v>
      </c>
      <c r="AL44" s="61">
        <v>63.2</v>
      </c>
      <c r="AM44" s="62">
        <v>1.33</v>
      </c>
      <c r="AN44" s="62">
        <v>1.36</v>
      </c>
      <c r="AO44" s="62">
        <v>1.36</v>
      </c>
      <c r="AP44" s="47">
        <v>24.2</v>
      </c>
      <c r="AQ44" s="47">
        <v>22.4</v>
      </c>
      <c r="AR44" s="47">
        <v>22.1</v>
      </c>
      <c r="AS44" s="47">
        <v>56.9</v>
      </c>
      <c r="AT44" s="60">
        <v>56</v>
      </c>
      <c r="AU44" s="64">
        <v>53.8</v>
      </c>
      <c r="AV44" s="47">
        <v>26.6</v>
      </c>
      <c r="AW44" s="60">
        <v>29.5</v>
      </c>
      <c r="AX44" s="64">
        <v>30.7</v>
      </c>
      <c r="AY44" s="47">
        <v>14.7</v>
      </c>
      <c r="AZ44" s="60">
        <v>8.1999999999999993</v>
      </c>
      <c r="BA44" s="32">
        <v>9.3000000000000007</v>
      </c>
      <c r="BE44" s="47">
        <v>1.8</v>
      </c>
      <c r="BF44" s="60">
        <v>0.5</v>
      </c>
      <c r="BG44" s="32">
        <v>0.7</v>
      </c>
      <c r="BH44" s="32">
        <v>93.9</v>
      </c>
      <c r="BI44" s="32">
        <v>88.6</v>
      </c>
      <c r="BJ44" s="32">
        <v>87.4</v>
      </c>
      <c r="BK44" s="32">
        <v>89.2</v>
      </c>
      <c r="BL44" s="32">
        <v>84.9</v>
      </c>
      <c r="BM44" s="32">
        <v>85.4</v>
      </c>
      <c r="BN44" s="47">
        <v>42.9</v>
      </c>
      <c r="BO44" s="32">
        <v>76.2</v>
      </c>
      <c r="BP44" s="32">
        <v>77</v>
      </c>
      <c r="BQ44" s="32">
        <v>91.5</v>
      </c>
      <c r="BR44" s="32">
        <v>86.3</v>
      </c>
      <c r="BS44" s="32">
        <v>86.3</v>
      </c>
      <c r="BT44" s="47">
        <v>-3.0808984297356403</v>
      </c>
      <c r="BU44" s="32">
        <v>-6.3</v>
      </c>
      <c r="BV44" s="32">
        <v>-5.9</v>
      </c>
      <c r="BW44" s="32">
        <v>10.6</v>
      </c>
      <c r="BX44" s="32">
        <v>9.1</v>
      </c>
      <c r="BY44" s="32">
        <v>8.9</v>
      </c>
      <c r="BZ44" s="63">
        <v>16</v>
      </c>
      <c r="CA44" s="63">
        <v>15.36</v>
      </c>
      <c r="CB44" s="63">
        <v>15.5</v>
      </c>
      <c r="CC44" s="32">
        <v>14.4</v>
      </c>
      <c r="CD44" s="32">
        <v>14.8</v>
      </c>
      <c r="CE44" s="32">
        <v>14.7</v>
      </c>
      <c r="CF44" s="32"/>
      <c r="CG44" s="32"/>
      <c r="CH44" s="32"/>
      <c r="CI44" s="32"/>
      <c r="CK44" s="33"/>
      <c r="CL44" s="32">
        <v>87.3</v>
      </c>
      <c r="CM44" s="32">
        <v>82.6</v>
      </c>
      <c r="CN44" s="32">
        <v>75.599999999999994</v>
      </c>
      <c r="CO44" s="32">
        <v>7.3</v>
      </c>
      <c r="CP44" s="32">
        <v>5.2</v>
      </c>
      <c r="CQ44" s="32">
        <v>5.3</v>
      </c>
      <c r="CR44" s="64">
        <v>44.8</v>
      </c>
      <c r="CS44" s="64">
        <v>42.5</v>
      </c>
      <c r="CT44" s="64">
        <v>42.9</v>
      </c>
      <c r="CU44" s="32" t="str">
        <f t="shared" si="1"/>
        <v>9830538T</v>
      </c>
      <c r="CV44" s="47">
        <v>24.109014675052411</v>
      </c>
      <c r="CW44" s="47">
        <v>35.323259846420605</v>
      </c>
      <c r="CX44" s="47">
        <v>37.207235798159317</v>
      </c>
      <c r="DA44" s="68"/>
    </row>
    <row r="45" spans="1:105" x14ac:dyDescent="0.2">
      <c r="A45" s="30" t="s">
        <v>180</v>
      </c>
      <c r="B45" s="30" t="s">
        <v>93</v>
      </c>
      <c r="C45" s="30" t="s">
        <v>27</v>
      </c>
      <c r="D45" s="30" t="s">
        <v>117</v>
      </c>
      <c r="E45" s="30" t="s">
        <v>112</v>
      </c>
      <c r="F45" s="31">
        <v>341</v>
      </c>
      <c r="G45" s="31" t="s">
        <v>10</v>
      </c>
      <c r="H45" s="31" t="s">
        <v>10</v>
      </c>
      <c r="I45" s="31">
        <v>476</v>
      </c>
      <c r="J45" s="31" t="s">
        <v>10</v>
      </c>
      <c r="K45" s="31" t="s">
        <v>10</v>
      </c>
      <c r="L45" s="31">
        <v>457</v>
      </c>
      <c r="M45" s="33" t="s">
        <v>10</v>
      </c>
      <c r="N45" s="33" t="s">
        <v>10</v>
      </c>
      <c r="O45" s="31">
        <v>441</v>
      </c>
      <c r="P45" s="33" t="s">
        <v>10</v>
      </c>
      <c r="Q45" s="33" t="s">
        <v>10</v>
      </c>
      <c r="R45" s="47">
        <v>103.2</v>
      </c>
      <c r="S45" s="60">
        <v>121</v>
      </c>
      <c r="T45" s="60">
        <v>127</v>
      </c>
      <c r="U45" s="60">
        <v>53.2</v>
      </c>
      <c r="V45" s="60">
        <v>46.1</v>
      </c>
      <c r="W45" s="60">
        <v>45.8</v>
      </c>
      <c r="X45" s="60">
        <v>18.3</v>
      </c>
      <c r="Y45" s="60">
        <v>16.399999999999999</v>
      </c>
      <c r="Z45" s="60">
        <v>16.399999999999999</v>
      </c>
      <c r="AA45" s="47">
        <v>92.9</v>
      </c>
      <c r="AB45" s="60">
        <v>96.4</v>
      </c>
      <c r="AC45" s="47">
        <v>96.6</v>
      </c>
      <c r="AD45" s="47">
        <v>11</v>
      </c>
      <c r="AE45" s="60">
        <v>9.8000000000000007</v>
      </c>
      <c r="AF45" s="60">
        <v>10.7</v>
      </c>
      <c r="AG45" s="61">
        <v>58.2</v>
      </c>
      <c r="AH45" s="61">
        <v>46.9</v>
      </c>
      <c r="AI45" s="61">
        <v>47.6</v>
      </c>
      <c r="AJ45" s="61">
        <v>51.5</v>
      </c>
      <c r="AK45" s="61">
        <v>60.6</v>
      </c>
      <c r="AL45" s="61">
        <v>63.2</v>
      </c>
      <c r="AM45" s="62">
        <v>1.33</v>
      </c>
      <c r="AN45" s="62">
        <v>1.36</v>
      </c>
      <c r="AO45" s="62">
        <v>1.36</v>
      </c>
      <c r="AP45" s="47">
        <v>24.1</v>
      </c>
      <c r="AQ45" s="47">
        <v>22.4</v>
      </c>
      <c r="AR45" s="47">
        <v>22.1</v>
      </c>
      <c r="AS45" s="47">
        <v>69.099999999999994</v>
      </c>
      <c r="AT45" s="60">
        <v>56</v>
      </c>
      <c r="AU45" s="64">
        <v>53.8</v>
      </c>
      <c r="AV45" s="47">
        <v>29.1</v>
      </c>
      <c r="AW45" s="60">
        <v>29.5</v>
      </c>
      <c r="AX45" s="64">
        <v>30.7</v>
      </c>
      <c r="AY45" s="47">
        <v>0</v>
      </c>
      <c r="AZ45" s="60">
        <v>8.1999999999999993</v>
      </c>
      <c r="BA45" s="32">
        <v>9.3000000000000007</v>
      </c>
      <c r="BE45" s="47">
        <v>0</v>
      </c>
      <c r="BF45" s="60">
        <v>0.5</v>
      </c>
      <c r="BG45" s="32">
        <v>0.7</v>
      </c>
      <c r="BH45" s="32">
        <v>91.2</v>
      </c>
      <c r="BI45" s="32">
        <v>88.6</v>
      </c>
      <c r="BJ45" s="32">
        <v>87.4</v>
      </c>
      <c r="BK45" s="32">
        <v>82.8</v>
      </c>
      <c r="BL45" s="32">
        <v>84.9</v>
      </c>
      <c r="BM45" s="32">
        <v>85.4</v>
      </c>
      <c r="BN45" s="47">
        <v>66.7</v>
      </c>
      <c r="BO45" s="32">
        <v>76.2</v>
      </c>
      <c r="BP45" s="32">
        <v>77</v>
      </c>
      <c r="BQ45" s="32">
        <v>87.6</v>
      </c>
      <c r="BR45" s="32">
        <v>86.3</v>
      </c>
      <c r="BS45" s="32">
        <v>86.3</v>
      </c>
      <c r="BT45" s="47">
        <v>-6.1218243036424838</v>
      </c>
      <c r="BU45" s="32">
        <v>-6.3</v>
      </c>
      <c r="BV45" s="32">
        <v>-5.9</v>
      </c>
      <c r="BW45" s="32">
        <v>8.9</v>
      </c>
      <c r="BX45" s="32">
        <v>9.1</v>
      </c>
      <c r="BY45" s="32">
        <v>8.9</v>
      </c>
      <c r="BZ45" s="63">
        <v>14.7</v>
      </c>
      <c r="CA45" s="63">
        <v>15.36</v>
      </c>
      <c r="CB45" s="63">
        <v>15.5</v>
      </c>
      <c r="CC45" s="32">
        <v>14.7</v>
      </c>
      <c r="CD45" s="32">
        <v>14.8</v>
      </c>
      <c r="CE45" s="32">
        <v>14.7</v>
      </c>
      <c r="CF45" s="32"/>
      <c r="CG45" s="32"/>
      <c r="CH45" s="32"/>
      <c r="CI45" s="32"/>
      <c r="CK45" s="33"/>
      <c r="CL45" s="32">
        <v>88.9</v>
      </c>
      <c r="CM45" s="32">
        <v>82.6</v>
      </c>
      <c r="CN45" s="32">
        <v>75.599999999999994</v>
      </c>
      <c r="CO45" s="32">
        <v>3.6</v>
      </c>
      <c r="CP45" s="32">
        <v>5.2</v>
      </c>
      <c r="CQ45" s="32">
        <v>5.3</v>
      </c>
      <c r="CR45" s="64">
        <v>38.6</v>
      </c>
      <c r="CS45" s="64">
        <v>42.5</v>
      </c>
      <c r="CT45" s="64">
        <v>42.9</v>
      </c>
      <c r="CU45" s="32" t="str">
        <f t="shared" si="1"/>
        <v>9830616C</v>
      </c>
      <c r="CV45" s="47">
        <v>31.072210065645518</v>
      </c>
      <c r="CW45" s="47">
        <v>35.323259846420605</v>
      </c>
      <c r="CX45" s="47">
        <v>37.207235798159317</v>
      </c>
      <c r="DA45" s="68"/>
    </row>
    <row r="46" spans="1:105" x14ac:dyDescent="0.2">
      <c r="A46" s="30" t="s">
        <v>181</v>
      </c>
      <c r="B46" s="30" t="s">
        <v>94</v>
      </c>
      <c r="C46" s="30" t="s">
        <v>27</v>
      </c>
      <c r="D46" s="30" t="s">
        <v>116</v>
      </c>
      <c r="E46" s="30" t="s">
        <v>112</v>
      </c>
      <c r="F46" s="31">
        <v>590</v>
      </c>
      <c r="G46" s="31" t="s">
        <v>10</v>
      </c>
      <c r="H46" s="31" t="s">
        <v>10</v>
      </c>
      <c r="I46" s="31">
        <v>470</v>
      </c>
      <c r="J46" s="31" t="s">
        <v>10</v>
      </c>
      <c r="K46" s="31" t="s">
        <v>10</v>
      </c>
      <c r="L46" s="31">
        <v>467</v>
      </c>
      <c r="M46" s="33" t="s">
        <v>10</v>
      </c>
      <c r="N46" s="33" t="s">
        <v>10</v>
      </c>
      <c r="O46" s="31">
        <v>475</v>
      </c>
      <c r="P46" s="33" t="s">
        <v>10</v>
      </c>
      <c r="Q46" s="33" t="s">
        <v>10</v>
      </c>
      <c r="R46" s="47">
        <v>115.4</v>
      </c>
      <c r="S46" s="60">
        <v>121</v>
      </c>
      <c r="T46" s="60">
        <v>127</v>
      </c>
      <c r="U46" s="60">
        <v>43.5</v>
      </c>
      <c r="V46" s="60">
        <v>46.1</v>
      </c>
      <c r="W46" s="60">
        <v>45.8</v>
      </c>
      <c r="X46" s="60">
        <v>17.100000000000001</v>
      </c>
      <c r="Y46" s="60">
        <v>16.399999999999999</v>
      </c>
      <c r="Z46" s="60">
        <v>16.399999999999999</v>
      </c>
      <c r="AA46" s="47">
        <v>96.8</v>
      </c>
      <c r="AB46" s="60">
        <v>96.4</v>
      </c>
      <c r="AC46" s="47">
        <v>96.6</v>
      </c>
      <c r="AD46" s="47">
        <v>11.6</v>
      </c>
      <c r="AE46" s="60">
        <v>9.8000000000000007</v>
      </c>
      <c r="AF46" s="60">
        <v>10.7</v>
      </c>
      <c r="AG46" s="61">
        <v>44.9</v>
      </c>
      <c r="AH46" s="61">
        <v>46.9</v>
      </c>
      <c r="AI46" s="61">
        <v>47.6</v>
      </c>
      <c r="AJ46" s="61">
        <v>47.2</v>
      </c>
      <c r="AK46" s="61">
        <v>60.6</v>
      </c>
      <c r="AL46" s="61">
        <v>63.2</v>
      </c>
      <c r="AM46" s="62">
        <v>1.25</v>
      </c>
      <c r="AN46" s="62">
        <v>1.36</v>
      </c>
      <c r="AO46" s="62">
        <v>1.36</v>
      </c>
      <c r="AP46" s="47">
        <v>23.5</v>
      </c>
      <c r="AQ46" s="47">
        <v>22.4</v>
      </c>
      <c r="AR46" s="47">
        <v>22.1</v>
      </c>
      <c r="AS46" s="47">
        <v>69</v>
      </c>
      <c r="AT46" s="60">
        <v>56</v>
      </c>
      <c r="AU46" s="64">
        <v>53.8</v>
      </c>
      <c r="AV46" s="47">
        <v>24</v>
      </c>
      <c r="AW46" s="60">
        <v>29.5</v>
      </c>
      <c r="AX46" s="64">
        <v>30.7</v>
      </c>
      <c r="AY46" s="47">
        <v>5</v>
      </c>
      <c r="AZ46" s="60">
        <v>8.1999999999999993</v>
      </c>
      <c r="BA46" s="32">
        <v>9.3000000000000007</v>
      </c>
      <c r="BE46" s="47">
        <v>0</v>
      </c>
      <c r="BF46" s="60">
        <v>0.5</v>
      </c>
      <c r="BG46" s="32">
        <v>0.7</v>
      </c>
      <c r="BH46" s="32">
        <v>89.6</v>
      </c>
      <c r="BI46" s="32">
        <v>88.6</v>
      </c>
      <c r="BJ46" s="32">
        <v>87.4</v>
      </c>
      <c r="BK46" s="32">
        <v>77.3</v>
      </c>
      <c r="BL46" s="32">
        <v>84.9</v>
      </c>
      <c r="BM46" s="32">
        <v>85.4</v>
      </c>
      <c r="BN46" s="47">
        <v>100</v>
      </c>
      <c r="BO46" s="32">
        <v>76.2</v>
      </c>
      <c r="BP46" s="32">
        <v>77</v>
      </c>
      <c r="BQ46" s="32">
        <v>90.2</v>
      </c>
      <c r="BR46" s="32">
        <v>86.3</v>
      </c>
      <c r="BS46" s="32">
        <v>86.3</v>
      </c>
      <c r="BT46" s="47">
        <v>-6.8627450980392126</v>
      </c>
      <c r="BU46" s="32">
        <v>-6.3</v>
      </c>
      <c r="BV46" s="32">
        <v>-5.9</v>
      </c>
      <c r="BW46" s="32">
        <v>9.6</v>
      </c>
      <c r="BX46" s="32">
        <v>9.1</v>
      </c>
      <c r="BY46" s="32">
        <v>8.9</v>
      </c>
      <c r="BZ46" s="63">
        <v>14.9</v>
      </c>
      <c r="CA46" s="63">
        <v>15.36</v>
      </c>
      <c r="CB46" s="63">
        <v>15.5</v>
      </c>
      <c r="CC46" s="32">
        <v>14.2</v>
      </c>
      <c r="CD46" s="32">
        <v>14.8</v>
      </c>
      <c r="CE46" s="32">
        <v>14.7</v>
      </c>
      <c r="CF46" s="32"/>
      <c r="CG46" s="32"/>
      <c r="CH46" s="32"/>
      <c r="CI46" s="32"/>
      <c r="CK46" s="33"/>
      <c r="CL46" s="32">
        <v>82.6</v>
      </c>
      <c r="CM46" s="32">
        <v>82.6</v>
      </c>
      <c r="CN46" s="32">
        <v>75.599999999999994</v>
      </c>
      <c r="CO46" s="32">
        <v>5.4</v>
      </c>
      <c r="CP46" s="32">
        <v>5.2</v>
      </c>
      <c r="CQ46" s="32">
        <v>5.3</v>
      </c>
      <c r="CR46" s="64">
        <v>41.3</v>
      </c>
      <c r="CS46" s="64">
        <v>42.5</v>
      </c>
      <c r="CT46" s="64">
        <v>42.9</v>
      </c>
      <c r="CU46" s="32" t="str">
        <f t="shared" si="1"/>
        <v>9830624L</v>
      </c>
      <c r="CV46" s="47">
        <v>25.053533190578158</v>
      </c>
      <c r="CW46" s="47">
        <v>35.323259846420605</v>
      </c>
      <c r="CX46" s="47">
        <v>37.207235798159317</v>
      </c>
      <c r="DA46" s="68"/>
    </row>
    <row r="47" spans="1:105" x14ac:dyDescent="0.2">
      <c r="A47" s="30" t="s">
        <v>182</v>
      </c>
      <c r="B47" s="30" t="s">
        <v>95</v>
      </c>
      <c r="C47" s="30" t="s">
        <v>27</v>
      </c>
      <c r="D47" s="30" t="s">
        <v>43</v>
      </c>
      <c r="E47" s="30" t="s">
        <v>112</v>
      </c>
      <c r="F47" s="31">
        <v>667</v>
      </c>
      <c r="G47" s="31">
        <v>75</v>
      </c>
      <c r="H47" s="31" t="s">
        <v>10</v>
      </c>
      <c r="I47" s="31">
        <v>367</v>
      </c>
      <c r="J47" s="31">
        <v>67</v>
      </c>
      <c r="K47" s="31" t="s">
        <v>10</v>
      </c>
      <c r="L47" s="31">
        <v>346</v>
      </c>
      <c r="M47" s="33">
        <v>77</v>
      </c>
      <c r="N47" s="33" t="s">
        <v>10</v>
      </c>
      <c r="O47" s="31">
        <v>323</v>
      </c>
      <c r="P47" s="33">
        <v>83</v>
      </c>
      <c r="Q47" s="33" t="s">
        <v>10</v>
      </c>
      <c r="R47" s="47">
        <v>97.8</v>
      </c>
      <c r="S47" s="60">
        <v>121</v>
      </c>
      <c r="T47" s="60">
        <v>127</v>
      </c>
      <c r="U47" s="60">
        <v>53</v>
      </c>
      <c r="V47" s="60">
        <v>46.1</v>
      </c>
      <c r="W47" s="60">
        <v>45.8</v>
      </c>
      <c r="X47" s="60">
        <v>10.9</v>
      </c>
      <c r="Y47" s="60">
        <v>16.399999999999999</v>
      </c>
      <c r="Z47" s="60">
        <v>16.399999999999999</v>
      </c>
      <c r="AA47" s="47">
        <v>87.7</v>
      </c>
      <c r="AB47" s="60">
        <v>96.4</v>
      </c>
      <c r="AC47" s="47">
        <v>96.6</v>
      </c>
      <c r="AD47" s="47">
        <v>13.7</v>
      </c>
      <c r="AE47" s="60">
        <v>9.8000000000000007</v>
      </c>
      <c r="AF47" s="60">
        <v>10.7</v>
      </c>
      <c r="AG47" s="61">
        <v>59.6</v>
      </c>
      <c r="AH47" s="61">
        <v>46.9</v>
      </c>
      <c r="AI47" s="61">
        <v>47.6</v>
      </c>
      <c r="AJ47" s="61">
        <v>80.599999999999994</v>
      </c>
      <c r="AK47" s="61">
        <v>60.6</v>
      </c>
      <c r="AL47" s="61">
        <v>63.2</v>
      </c>
      <c r="AM47" s="62">
        <v>1.42</v>
      </c>
      <c r="AN47" s="62">
        <v>1.36</v>
      </c>
      <c r="AO47" s="62">
        <v>1.36</v>
      </c>
      <c r="AP47" s="47">
        <v>22</v>
      </c>
      <c r="AQ47" s="47">
        <v>22.4</v>
      </c>
      <c r="AR47" s="47">
        <v>22.1</v>
      </c>
      <c r="AS47" s="47">
        <v>57.7</v>
      </c>
      <c r="AT47" s="60">
        <v>56</v>
      </c>
      <c r="AU47" s="64">
        <v>53.8</v>
      </c>
      <c r="AV47" s="47">
        <v>31.7</v>
      </c>
      <c r="AW47" s="60">
        <v>29.5</v>
      </c>
      <c r="AX47" s="64">
        <v>30.7</v>
      </c>
      <c r="AY47" s="47">
        <v>7.7</v>
      </c>
      <c r="AZ47" s="60">
        <v>8.1999999999999993</v>
      </c>
      <c r="BA47" s="32">
        <v>9.3000000000000007</v>
      </c>
      <c r="BE47" s="47">
        <v>0</v>
      </c>
      <c r="BF47" s="60">
        <v>0.5</v>
      </c>
      <c r="BG47" s="32">
        <v>0.7</v>
      </c>
      <c r="BH47" s="32">
        <v>74.2</v>
      </c>
      <c r="BI47" s="32">
        <v>88.6</v>
      </c>
      <c r="BJ47" s="32">
        <v>87.4</v>
      </c>
      <c r="BK47" s="32">
        <v>82.9</v>
      </c>
      <c r="BL47" s="32">
        <v>84.9</v>
      </c>
      <c r="BM47" s="32">
        <v>85.4</v>
      </c>
      <c r="BN47" s="47">
        <v>90.9</v>
      </c>
      <c r="BO47" s="32">
        <v>76.2</v>
      </c>
      <c r="BP47" s="32">
        <v>77</v>
      </c>
      <c r="BQ47" s="32">
        <v>84.6</v>
      </c>
      <c r="BR47" s="32">
        <v>86.3</v>
      </c>
      <c r="BS47" s="32">
        <v>86.3</v>
      </c>
      <c r="BT47" s="47">
        <v>-2.5641025641025692</v>
      </c>
      <c r="BU47" s="32">
        <v>-6.3</v>
      </c>
      <c r="BV47" s="32">
        <v>-5.9</v>
      </c>
      <c r="BW47" s="32">
        <v>6.1</v>
      </c>
      <c r="BX47" s="32">
        <v>9.1</v>
      </c>
      <c r="BY47" s="32">
        <v>8.9</v>
      </c>
      <c r="BZ47" s="63">
        <v>15.8</v>
      </c>
      <c r="CA47" s="63">
        <v>15.36</v>
      </c>
      <c r="CB47" s="63">
        <v>15.5</v>
      </c>
      <c r="CC47" s="32">
        <v>14.9</v>
      </c>
      <c r="CD47" s="32">
        <v>14.8</v>
      </c>
      <c r="CE47" s="32">
        <v>14.7</v>
      </c>
      <c r="CF47" s="32"/>
      <c r="CG47" s="32"/>
      <c r="CH47" s="32"/>
      <c r="CI47" s="32"/>
      <c r="CK47" s="33"/>
      <c r="CL47" s="32">
        <v>90.7</v>
      </c>
      <c r="CM47" s="32">
        <v>82.6</v>
      </c>
      <c r="CN47" s="32">
        <v>75.599999999999994</v>
      </c>
      <c r="CO47" s="32">
        <v>4.4000000000000004</v>
      </c>
      <c r="CP47" s="32">
        <v>5.2</v>
      </c>
      <c r="CQ47" s="32">
        <v>5.3</v>
      </c>
      <c r="CR47" s="64">
        <v>46.1</v>
      </c>
      <c r="CS47" s="64">
        <v>42.5</v>
      </c>
      <c r="CT47" s="64">
        <v>42.9</v>
      </c>
      <c r="CU47" s="32" t="str">
        <f t="shared" si="1"/>
        <v>9830625M</v>
      </c>
      <c r="CV47" s="47">
        <v>52.890173410404628</v>
      </c>
      <c r="CW47" s="47">
        <v>35.323259846420605</v>
      </c>
      <c r="CX47" s="47">
        <v>37.207235798159317</v>
      </c>
      <c r="DA47" s="68"/>
    </row>
    <row r="48" spans="1:105" x14ac:dyDescent="0.2">
      <c r="A48" s="30" t="s">
        <v>183</v>
      </c>
      <c r="B48" s="30" t="s">
        <v>96</v>
      </c>
      <c r="C48" s="30" t="s">
        <v>27</v>
      </c>
      <c r="D48" s="30" t="s">
        <v>131</v>
      </c>
      <c r="E48" s="30" t="s">
        <v>112</v>
      </c>
      <c r="F48" s="31">
        <v>413</v>
      </c>
      <c r="G48" s="31" t="s">
        <v>10</v>
      </c>
      <c r="H48" s="31" t="s">
        <v>10</v>
      </c>
      <c r="I48" s="31">
        <v>290</v>
      </c>
      <c r="J48" s="31" t="s">
        <v>10</v>
      </c>
      <c r="K48" s="31" t="s">
        <v>10</v>
      </c>
      <c r="L48" s="31">
        <v>295</v>
      </c>
      <c r="M48" s="33" t="s">
        <v>10</v>
      </c>
      <c r="N48" s="33" t="s">
        <v>10</v>
      </c>
      <c r="O48" s="31">
        <v>297</v>
      </c>
      <c r="P48" s="33" t="s">
        <v>10</v>
      </c>
      <c r="Q48" s="33" t="s">
        <v>10</v>
      </c>
      <c r="R48" s="47">
        <v>109</v>
      </c>
      <c r="S48" s="60">
        <v>121</v>
      </c>
      <c r="T48" s="60">
        <v>127</v>
      </c>
      <c r="U48" s="60">
        <v>44.9</v>
      </c>
      <c r="V48" s="60">
        <v>46.1</v>
      </c>
      <c r="W48" s="60">
        <v>45.8</v>
      </c>
      <c r="X48" s="60">
        <v>9.9</v>
      </c>
      <c r="Y48" s="60">
        <v>16.399999999999999</v>
      </c>
      <c r="Z48" s="60">
        <v>16.399999999999999</v>
      </c>
      <c r="AA48" s="47">
        <v>98.7</v>
      </c>
      <c r="AB48" s="60">
        <v>96.4</v>
      </c>
      <c r="AC48" s="47">
        <v>96.6</v>
      </c>
      <c r="AD48" s="47">
        <v>8.4</v>
      </c>
      <c r="AE48" s="60">
        <v>9.8000000000000007</v>
      </c>
      <c r="AF48" s="60">
        <v>10.7</v>
      </c>
      <c r="AG48" s="61">
        <v>25.299999999999997</v>
      </c>
      <c r="AH48" s="61">
        <v>46.9</v>
      </c>
      <c r="AI48" s="61">
        <v>47.6</v>
      </c>
      <c r="AJ48" s="61">
        <v>48.8</v>
      </c>
      <c r="AK48" s="61">
        <v>60.6</v>
      </c>
      <c r="AL48" s="61">
        <v>63.2</v>
      </c>
      <c r="AM48" s="62">
        <v>1.37</v>
      </c>
      <c r="AN48" s="62">
        <v>1.36</v>
      </c>
      <c r="AO48" s="62">
        <v>1.36</v>
      </c>
      <c r="AP48" s="47">
        <v>22.7</v>
      </c>
      <c r="AQ48" s="47">
        <v>22.4</v>
      </c>
      <c r="AR48" s="47">
        <v>22.1</v>
      </c>
      <c r="AS48" s="47">
        <v>62.8</v>
      </c>
      <c r="AT48" s="60">
        <v>56</v>
      </c>
      <c r="AU48" s="64">
        <v>53.8</v>
      </c>
      <c r="AV48" s="47">
        <v>19.8</v>
      </c>
      <c r="AW48" s="60">
        <v>29.5</v>
      </c>
      <c r="AX48" s="64">
        <v>30.7</v>
      </c>
      <c r="AY48" s="47">
        <v>14</v>
      </c>
      <c r="AZ48" s="60">
        <v>8.1999999999999993</v>
      </c>
      <c r="BA48" s="32">
        <v>9.3000000000000007</v>
      </c>
      <c r="BE48" s="47">
        <v>0</v>
      </c>
      <c r="BF48" s="60">
        <v>0.5</v>
      </c>
      <c r="BG48" s="32">
        <v>0.7</v>
      </c>
      <c r="BH48" s="32">
        <v>96.4</v>
      </c>
      <c r="BI48" s="32">
        <v>88.6</v>
      </c>
      <c r="BJ48" s="32">
        <v>87.4</v>
      </c>
      <c r="BK48" s="32">
        <v>88.5</v>
      </c>
      <c r="BL48" s="32">
        <v>84.9</v>
      </c>
      <c r="BM48" s="32">
        <v>85.4</v>
      </c>
      <c r="BN48" s="47">
        <v>55.6</v>
      </c>
      <c r="BO48" s="32">
        <v>76.2</v>
      </c>
      <c r="BP48" s="32">
        <v>77</v>
      </c>
      <c r="BQ48" s="32">
        <v>98.3</v>
      </c>
      <c r="BR48" s="32">
        <v>86.3</v>
      </c>
      <c r="BS48" s="32">
        <v>86.3</v>
      </c>
      <c r="BT48" s="47">
        <v>1.6949152542372872</v>
      </c>
      <c r="BU48" s="32">
        <v>-6.3</v>
      </c>
      <c r="BV48" s="32">
        <v>-5.9</v>
      </c>
      <c r="BW48" s="32">
        <v>10.8</v>
      </c>
      <c r="BX48" s="32">
        <v>9.1</v>
      </c>
      <c r="BY48" s="32">
        <v>8.9</v>
      </c>
      <c r="BZ48" s="63">
        <v>16.399999999999999</v>
      </c>
      <c r="CA48" s="63">
        <v>15.36</v>
      </c>
      <c r="CB48" s="63">
        <v>15.5</v>
      </c>
      <c r="CC48" s="32">
        <v>15.8</v>
      </c>
      <c r="CD48" s="32">
        <v>14.8</v>
      </c>
      <c r="CE48" s="32">
        <v>14.7</v>
      </c>
      <c r="CF48" s="32"/>
      <c r="CG48" s="32"/>
      <c r="CH48" s="32"/>
      <c r="CI48" s="32"/>
      <c r="CK48" s="33"/>
      <c r="CL48" s="32">
        <v>80.3</v>
      </c>
      <c r="CM48" s="32">
        <v>82.6</v>
      </c>
      <c r="CN48" s="32">
        <v>75.599999999999994</v>
      </c>
      <c r="CO48" s="32">
        <v>6.7</v>
      </c>
      <c r="CP48" s="32">
        <v>5.2</v>
      </c>
      <c r="CQ48" s="32">
        <v>5.3</v>
      </c>
      <c r="CR48" s="64">
        <v>41.5</v>
      </c>
      <c r="CS48" s="64">
        <v>42.5</v>
      </c>
      <c r="CT48" s="64">
        <v>42.9</v>
      </c>
      <c r="CU48" s="32" t="str">
        <f t="shared" si="1"/>
        <v>9830626N</v>
      </c>
      <c r="CV48" s="47">
        <v>22.711864406779661</v>
      </c>
      <c r="CW48" s="47">
        <v>35.323259846420605</v>
      </c>
      <c r="CX48" s="47">
        <v>37.207235798159317</v>
      </c>
      <c r="DA48" s="68"/>
    </row>
    <row r="49" spans="1:105" x14ac:dyDescent="0.2">
      <c r="A49" s="30" t="s">
        <v>184</v>
      </c>
      <c r="B49" s="30" t="s">
        <v>97</v>
      </c>
      <c r="C49" s="30" t="s">
        <v>27</v>
      </c>
      <c r="D49" s="30" t="s">
        <v>134</v>
      </c>
      <c r="E49" s="30" t="s">
        <v>112</v>
      </c>
      <c r="F49" s="31">
        <v>109</v>
      </c>
      <c r="G49" s="31" t="s">
        <v>10</v>
      </c>
      <c r="H49" s="31" t="s">
        <v>10</v>
      </c>
      <c r="I49" s="31">
        <v>141</v>
      </c>
      <c r="J49" s="31" t="s">
        <v>10</v>
      </c>
      <c r="K49" s="31" t="s">
        <v>10</v>
      </c>
      <c r="L49" s="31">
        <v>131</v>
      </c>
      <c r="M49" s="33" t="s">
        <v>10</v>
      </c>
      <c r="N49" s="33" t="s">
        <v>10</v>
      </c>
      <c r="O49" s="31">
        <v>127</v>
      </c>
      <c r="P49" s="33" t="s">
        <v>10</v>
      </c>
      <c r="Q49" s="33" t="s">
        <v>10</v>
      </c>
      <c r="R49" s="47">
        <v>167.4</v>
      </c>
      <c r="S49" s="60">
        <v>121</v>
      </c>
      <c r="T49" s="60">
        <v>127</v>
      </c>
      <c r="U49" s="60">
        <v>68.7</v>
      </c>
      <c r="V49" s="60">
        <v>46.1</v>
      </c>
      <c r="W49" s="60">
        <v>45.8</v>
      </c>
      <c r="X49" s="60">
        <v>5.3</v>
      </c>
      <c r="Y49" s="60">
        <v>16.399999999999999</v>
      </c>
      <c r="Z49" s="60">
        <v>16.399999999999999</v>
      </c>
      <c r="AA49" s="47">
        <v>76.2</v>
      </c>
      <c r="AB49" s="60">
        <v>96.4</v>
      </c>
      <c r="AC49" s="47">
        <v>96.6</v>
      </c>
      <c r="AD49" s="47">
        <v>31.8</v>
      </c>
      <c r="AE49" s="60">
        <v>9.8000000000000007</v>
      </c>
      <c r="AF49" s="60">
        <v>10.7</v>
      </c>
      <c r="AG49" s="61">
        <v>72.7</v>
      </c>
      <c r="AH49" s="61">
        <v>46.9</v>
      </c>
      <c r="AI49" s="61">
        <v>47.6</v>
      </c>
      <c r="AJ49" s="61">
        <v>81.8</v>
      </c>
      <c r="AK49" s="61">
        <v>60.6</v>
      </c>
      <c r="AL49" s="61">
        <v>63.2</v>
      </c>
      <c r="AM49" s="62">
        <v>1.61</v>
      </c>
      <c r="AN49" s="62">
        <v>1.36</v>
      </c>
      <c r="AO49" s="62">
        <v>1.36</v>
      </c>
      <c r="AP49" s="47">
        <v>18.7</v>
      </c>
      <c r="AQ49" s="47">
        <v>22.4</v>
      </c>
      <c r="AR49" s="47">
        <v>22.1</v>
      </c>
      <c r="AS49" s="47">
        <v>36.700000000000003</v>
      </c>
      <c r="AT49" s="60">
        <v>56</v>
      </c>
      <c r="AU49" s="64">
        <v>53.8</v>
      </c>
      <c r="AV49" s="47">
        <v>36.700000000000003</v>
      </c>
      <c r="AW49" s="60">
        <v>29.5</v>
      </c>
      <c r="AX49" s="64">
        <v>30.7</v>
      </c>
      <c r="AY49" s="47">
        <v>26.7</v>
      </c>
      <c r="AZ49" s="60">
        <v>8.1999999999999993</v>
      </c>
      <c r="BA49" s="32">
        <v>9.3000000000000007</v>
      </c>
      <c r="BE49" s="47">
        <v>0</v>
      </c>
      <c r="BF49" s="60">
        <v>0.5</v>
      </c>
      <c r="BG49" s="32">
        <v>0.7</v>
      </c>
      <c r="BH49" s="32">
        <v>42.9</v>
      </c>
      <c r="BI49" s="32">
        <v>88.6</v>
      </c>
      <c r="BJ49" s="32">
        <v>87.4</v>
      </c>
      <c r="BK49" s="32">
        <v>100</v>
      </c>
      <c r="BL49" s="32">
        <v>84.9</v>
      </c>
      <c r="BM49" s="32">
        <v>85.4</v>
      </c>
      <c r="BN49" s="47">
        <v>87.5</v>
      </c>
      <c r="BO49" s="32">
        <v>76.2</v>
      </c>
      <c r="BP49" s="32">
        <v>77</v>
      </c>
      <c r="BQ49" s="32">
        <v>59.4</v>
      </c>
      <c r="BR49" s="32">
        <v>86.3</v>
      </c>
      <c r="BS49" s="32">
        <v>86.3</v>
      </c>
      <c r="BT49" s="47">
        <v>0.625</v>
      </c>
      <c r="BU49" s="32">
        <v>-6.3</v>
      </c>
      <c r="BV49" s="32">
        <v>-5.9</v>
      </c>
      <c r="BW49" s="32">
        <v>5.5</v>
      </c>
      <c r="BX49" s="32">
        <v>9.1</v>
      </c>
      <c r="BY49" s="32">
        <v>8.9</v>
      </c>
      <c r="BZ49" s="63">
        <v>13.3</v>
      </c>
      <c r="CA49" s="63">
        <v>15.36</v>
      </c>
      <c r="CB49" s="63">
        <v>15.5</v>
      </c>
      <c r="CC49" s="32">
        <v>13</v>
      </c>
      <c r="CD49" s="32">
        <v>14.8</v>
      </c>
      <c r="CE49" s="32">
        <v>14.7</v>
      </c>
      <c r="CF49" s="32"/>
      <c r="CG49" s="32"/>
      <c r="CH49" s="32"/>
      <c r="CI49" s="32"/>
      <c r="CK49" s="33"/>
      <c r="CL49" s="32">
        <v>63.1</v>
      </c>
      <c r="CM49" s="32">
        <v>82.6</v>
      </c>
      <c r="CN49" s="32">
        <v>75.599999999999994</v>
      </c>
      <c r="CO49" s="32">
        <v>4.2</v>
      </c>
      <c r="CP49" s="32">
        <v>5.2</v>
      </c>
      <c r="CQ49" s="32">
        <v>5.3</v>
      </c>
      <c r="CR49" s="64">
        <v>38.700000000000003</v>
      </c>
      <c r="CS49" s="64">
        <v>42.5</v>
      </c>
      <c r="CT49" s="64">
        <v>42.9</v>
      </c>
      <c r="CU49" s="32" t="str">
        <f t="shared" si="1"/>
        <v>9830632V</v>
      </c>
      <c r="CV49" s="47">
        <v>64.885496183206101</v>
      </c>
      <c r="CW49" s="47">
        <v>35.323259846420605</v>
      </c>
      <c r="CX49" s="47">
        <v>37.207235798159317</v>
      </c>
      <c r="DA49" s="68"/>
    </row>
    <row r="50" spans="1:105" x14ac:dyDescent="0.2">
      <c r="A50" s="30" t="s">
        <v>185</v>
      </c>
      <c r="B50" s="30" t="s">
        <v>98</v>
      </c>
      <c r="C50" s="30" t="s">
        <v>27</v>
      </c>
      <c r="D50" s="30" t="s">
        <v>119</v>
      </c>
      <c r="E50" s="30" t="s">
        <v>112</v>
      </c>
      <c r="F50" s="31">
        <v>108</v>
      </c>
      <c r="G50" s="31" t="s">
        <v>10</v>
      </c>
      <c r="H50" s="31">
        <v>17</v>
      </c>
      <c r="I50" s="31">
        <v>91</v>
      </c>
      <c r="J50" s="31" t="s">
        <v>10</v>
      </c>
      <c r="K50" s="31" t="s">
        <v>10</v>
      </c>
      <c r="L50" s="31">
        <v>84</v>
      </c>
      <c r="M50" s="33" t="s">
        <v>10</v>
      </c>
      <c r="N50" s="33" t="s">
        <v>10</v>
      </c>
      <c r="O50" s="31">
        <v>82</v>
      </c>
      <c r="P50" s="33" t="s">
        <v>10</v>
      </c>
      <c r="Q50" s="33" t="s">
        <v>10</v>
      </c>
      <c r="R50" s="47">
        <v>151.69999999999999</v>
      </c>
      <c r="S50" s="60">
        <v>121</v>
      </c>
      <c r="T50" s="60">
        <v>127</v>
      </c>
      <c r="U50" s="60">
        <v>59.5</v>
      </c>
      <c r="V50" s="60">
        <v>46.1</v>
      </c>
      <c r="W50" s="60">
        <v>45.8</v>
      </c>
      <c r="X50" s="60">
        <v>16.7</v>
      </c>
      <c r="Y50" s="60">
        <v>16.399999999999999</v>
      </c>
      <c r="Z50" s="60">
        <v>16.399999999999999</v>
      </c>
      <c r="AA50" s="47">
        <v>85.5</v>
      </c>
      <c r="AB50" s="60">
        <v>96.4</v>
      </c>
      <c r="AC50" s="47">
        <v>96.6</v>
      </c>
      <c r="AD50" s="47">
        <v>13.6</v>
      </c>
      <c r="AE50" s="60">
        <v>9.8000000000000007</v>
      </c>
      <c r="AF50" s="60">
        <v>10.7</v>
      </c>
      <c r="AG50" s="61">
        <v>68.2</v>
      </c>
      <c r="AH50" s="61">
        <v>46.9</v>
      </c>
      <c r="AI50" s="61">
        <v>47.6</v>
      </c>
      <c r="AJ50" s="61">
        <v>81.8</v>
      </c>
      <c r="AK50" s="61">
        <v>60.6</v>
      </c>
      <c r="AL50" s="61">
        <v>63.2</v>
      </c>
      <c r="AM50" s="62">
        <v>1.65</v>
      </c>
      <c r="AN50" s="62">
        <v>1.36</v>
      </c>
      <c r="AO50" s="62">
        <v>1.36</v>
      </c>
      <c r="AP50" s="47">
        <v>21</v>
      </c>
      <c r="AQ50" s="47">
        <v>22.4</v>
      </c>
      <c r="AR50" s="47">
        <v>22.1</v>
      </c>
      <c r="AS50" s="47">
        <v>23.3</v>
      </c>
      <c r="AT50" s="60">
        <v>56</v>
      </c>
      <c r="AU50" s="64">
        <v>53.8</v>
      </c>
      <c r="AV50" s="47">
        <v>56.7</v>
      </c>
      <c r="AW50" s="60">
        <v>29.5</v>
      </c>
      <c r="AX50" s="64">
        <v>30.7</v>
      </c>
      <c r="AY50" s="47">
        <v>16.7</v>
      </c>
      <c r="AZ50" s="60">
        <v>8.1999999999999993</v>
      </c>
      <c r="BA50" s="32">
        <v>9.3000000000000007</v>
      </c>
      <c r="BE50" s="47">
        <v>0</v>
      </c>
      <c r="BF50" s="60">
        <v>0.5</v>
      </c>
      <c r="BG50" s="32">
        <v>0.7</v>
      </c>
      <c r="BH50" s="32">
        <v>100</v>
      </c>
      <c r="BI50" s="32">
        <v>88.6</v>
      </c>
      <c r="BJ50" s="32">
        <v>87.4</v>
      </c>
      <c r="BK50" s="32">
        <v>71.400000000000006</v>
      </c>
      <c r="BL50" s="32">
        <v>84.9</v>
      </c>
      <c r="BM50" s="32">
        <v>85.4</v>
      </c>
      <c r="BN50" s="47">
        <v>100</v>
      </c>
      <c r="BO50" s="32">
        <v>76.2</v>
      </c>
      <c r="BP50" s="32">
        <v>77</v>
      </c>
      <c r="BQ50" s="32">
        <v>89.5</v>
      </c>
      <c r="BR50" s="32">
        <v>86.3</v>
      </c>
      <c r="BS50" s="32">
        <v>86.3</v>
      </c>
      <c r="BT50" s="47">
        <v>1.4354066985645915</v>
      </c>
      <c r="BU50" s="32">
        <v>-6.3</v>
      </c>
      <c r="BV50" s="32">
        <v>-5.9</v>
      </c>
      <c r="BW50" s="32">
        <v>7.2</v>
      </c>
      <c r="BX50" s="32">
        <v>9.1</v>
      </c>
      <c r="BY50" s="32">
        <v>8.9</v>
      </c>
      <c r="BZ50" s="63">
        <v>16.100000000000001</v>
      </c>
      <c r="CA50" s="63">
        <v>15.36</v>
      </c>
      <c r="CB50" s="63">
        <v>15.5</v>
      </c>
      <c r="CC50" s="32">
        <v>14</v>
      </c>
      <c r="CD50" s="32">
        <v>14.8</v>
      </c>
      <c r="CE50" s="32">
        <v>14.7</v>
      </c>
      <c r="CF50" s="32"/>
      <c r="CG50" s="32"/>
      <c r="CH50" s="32"/>
      <c r="CI50" s="32"/>
      <c r="CK50" s="33"/>
      <c r="CL50" s="32">
        <v>47.6</v>
      </c>
      <c r="CM50" s="32">
        <v>82.6</v>
      </c>
      <c r="CN50" s="32">
        <v>75.599999999999994</v>
      </c>
      <c r="CO50" s="32">
        <v>3.6</v>
      </c>
      <c r="CP50" s="32">
        <v>5.2</v>
      </c>
      <c r="CQ50" s="32">
        <v>5.3</v>
      </c>
      <c r="CR50" s="64">
        <v>39.799999999999997</v>
      </c>
      <c r="CS50" s="64">
        <v>42.5</v>
      </c>
      <c r="CT50" s="64">
        <v>42.9</v>
      </c>
      <c r="CU50" s="32" t="str">
        <f t="shared" si="1"/>
        <v>9830639C</v>
      </c>
      <c r="CV50" s="47">
        <v>73.80952380952381</v>
      </c>
      <c r="CW50" s="47">
        <v>35.323259846420605</v>
      </c>
      <c r="CX50" s="47">
        <v>37.207235798159317</v>
      </c>
      <c r="DA50" s="68"/>
    </row>
    <row r="51" spans="1:105" x14ac:dyDescent="0.2">
      <c r="A51" s="30" t="s">
        <v>186</v>
      </c>
      <c r="B51" s="30" t="s">
        <v>99</v>
      </c>
      <c r="C51" s="30" t="s">
        <v>27</v>
      </c>
      <c r="D51" s="30" t="s">
        <v>131</v>
      </c>
      <c r="E51" s="30" t="s">
        <v>112</v>
      </c>
      <c r="F51" s="31">
        <v>628</v>
      </c>
      <c r="G51" s="31">
        <v>68</v>
      </c>
      <c r="H51" s="31">
        <v>8</v>
      </c>
      <c r="I51" s="31">
        <v>594</v>
      </c>
      <c r="J51" s="31">
        <v>57</v>
      </c>
      <c r="K51" s="31" t="s">
        <v>10</v>
      </c>
      <c r="L51" s="31">
        <v>587</v>
      </c>
      <c r="M51" s="33">
        <v>64</v>
      </c>
      <c r="N51" s="33" t="s">
        <v>10</v>
      </c>
      <c r="O51" s="31">
        <v>613</v>
      </c>
      <c r="P51" s="33">
        <v>68</v>
      </c>
      <c r="Q51" s="33" t="s">
        <v>10</v>
      </c>
      <c r="R51" s="47">
        <v>99.9</v>
      </c>
      <c r="S51" s="60">
        <v>121</v>
      </c>
      <c r="T51" s="60">
        <v>127</v>
      </c>
      <c r="U51" s="60">
        <v>45</v>
      </c>
      <c r="V51" s="60">
        <v>46.1</v>
      </c>
      <c r="W51" s="60">
        <v>45.8</v>
      </c>
      <c r="X51" s="60">
        <v>13.8</v>
      </c>
      <c r="Y51" s="60">
        <v>16.399999999999999</v>
      </c>
      <c r="Z51" s="60">
        <v>16.399999999999999</v>
      </c>
      <c r="AA51" s="47">
        <v>100</v>
      </c>
      <c r="AB51" s="60">
        <v>96.4</v>
      </c>
      <c r="AC51" s="47">
        <v>96.6</v>
      </c>
      <c r="AD51" s="47">
        <v>8.1</v>
      </c>
      <c r="AE51" s="60">
        <v>9.8000000000000007</v>
      </c>
      <c r="AF51" s="60">
        <v>10.7</v>
      </c>
      <c r="AG51" s="61">
        <v>42.6</v>
      </c>
      <c r="AH51" s="61">
        <v>46.9</v>
      </c>
      <c r="AI51" s="61">
        <v>47.6</v>
      </c>
      <c r="AJ51" s="61">
        <v>55.1</v>
      </c>
      <c r="AK51" s="61">
        <v>60.6</v>
      </c>
      <c r="AL51" s="61">
        <v>63.2</v>
      </c>
      <c r="AM51" s="62">
        <v>1.23</v>
      </c>
      <c r="AN51" s="62">
        <v>1.36</v>
      </c>
      <c r="AO51" s="62">
        <v>1.36</v>
      </c>
      <c r="AP51" s="47">
        <v>24.1</v>
      </c>
      <c r="AQ51" s="47">
        <v>22.4</v>
      </c>
      <c r="AR51" s="47">
        <v>22.1</v>
      </c>
      <c r="AS51" s="47">
        <v>53.7</v>
      </c>
      <c r="AT51" s="60">
        <v>56</v>
      </c>
      <c r="AU51" s="64">
        <v>53.8</v>
      </c>
      <c r="AV51" s="47">
        <v>38.299999999999997</v>
      </c>
      <c r="AW51" s="60">
        <v>29.5</v>
      </c>
      <c r="AX51" s="64">
        <v>30.7</v>
      </c>
      <c r="AY51" s="47">
        <v>3.4</v>
      </c>
      <c r="AZ51" s="60">
        <v>8.1999999999999993</v>
      </c>
      <c r="BA51" s="32">
        <v>9.3000000000000007</v>
      </c>
      <c r="BE51" s="47">
        <v>0</v>
      </c>
      <c r="BF51" s="60">
        <v>0.5</v>
      </c>
      <c r="BG51" s="32">
        <v>0.7</v>
      </c>
      <c r="BH51" s="32">
        <v>93</v>
      </c>
      <c r="BI51" s="32">
        <v>88.6</v>
      </c>
      <c r="BJ51" s="32">
        <v>87.4</v>
      </c>
      <c r="BK51" s="32">
        <v>86.4</v>
      </c>
      <c r="BL51" s="32">
        <v>84.9</v>
      </c>
      <c r="BM51" s="32">
        <v>85.4</v>
      </c>
      <c r="BN51" s="47">
        <v>66.7</v>
      </c>
      <c r="BO51" s="32">
        <v>76.2</v>
      </c>
      <c r="BP51" s="32">
        <v>77</v>
      </c>
      <c r="BQ51" s="32">
        <v>89</v>
      </c>
      <c r="BR51" s="32">
        <v>86.3</v>
      </c>
      <c r="BS51" s="32">
        <v>86.3</v>
      </c>
      <c r="BT51" s="47">
        <v>-14.767490573942197</v>
      </c>
      <c r="BU51" s="32">
        <v>-6.3</v>
      </c>
      <c r="BV51" s="32">
        <v>-5.9</v>
      </c>
      <c r="BW51" s="32">
        <v>9</v>
      </c>
      <c r="BX51" s="32">
        <v>9.1</v>
      </c>
      <c r="BY51" s="32">
        <v>8.9</v>
      </c>
      <c r="BZ51" s="63">
        <v>15</v>
      </c>
      <c r="CA51" s="63">
        <v>15.36</v>
      </c>
      <c r="CB51" s="63">
        <v>15.5</v>
      </c>
      <c r="CC51" s="32">
        <v>14.3</v>
      </c>
      <c r="CD51" s="32">
        <v>14.8</v>
      </c>
      <c r="CE51" s="32">
        <v>14.7</v>
      </c>
      <c r="CF51" s="32"/>
      <c r="CG51" s="32"/>
      <c r="CH51" s="32"/>
      <c r="CI51" s="32"/>
      <c r="CK51" s="33"/>
      <c r="CL51" s="32">
        <v>87.7</v>
      </c>
      <c r="CM51" s="32">
        <v>82.6</v>
      </c>
      <c r="CN51" s="32">
        <v>75.599999999999994</v>
      </c>
      <c r="CO51" s="32">
        <v>6.1</v>
      </c>
      <c r="CP51" s="32">
        <v>5.2</v>
      </c>
      <c r="CQ51" s="32">
        <v>5.3</v>
      </c>
      <c r="CR51" s="64">
        <v>42</v>
      </c>
      <c r="CS51" s="64">
        <v>42.5</v>
      </c>
      <c r="CT51" s="64">
        <v>42.9</v>
      </c>
      <c r="CU51" s="32" t="str">
        <f t="shared" si="1"/>
        <v>9830640D</v>
      </c>
      <c r="CV51" s="47">
        <v>21.29471890971039</v>
      </c>
      <c r="CW51" s="47">
        <v>35.323259846420605</v>
      </c>
      <c r="CX51" s="47">
        <v>37.207235798159317</v>
      </c>
      <c r="DA51" s="68"/>
    </row>
    <row r="52" spans="1:105" x14ac:dyDescent="0.2">
      <c r="A52" s="30" t="s">
        <v>187</v>
      </c>
      <c r="B52" s="30" t="s">
        <v>100</v>
      </c>
      <c r="C52" s="30" t="s">
        <v>27</v>
      </c>
      <c r="D52" s="30" t="s">
        <v>43</v>
      </c>
      <c r="E52" s="30" t="s">
        <v>112</v>
      </c>
      <c r="F52" s="31">
        <v>564</v>
      </c>
      <c r="G52" s="31" t="s">
        <v>10</v>
      </c>
      <c r="H52" s="31" t="s">
        <v>10</v>
      </c>
      <c r="I52" s="31">
        <v>497</v>
      </c>
      <c r="J52" s="31" t="s">
        <v>10</v>
      </c>
      <c r="K52" s="31" t="s">
        <v>10</v>
      </c>
      <c r="L52" s="31">
        <v>503</v>
      </c>
      <c r="M52" s="33" t="s">
        <v>10</v>
      </c>
      <c r="N52" s="33" t="s">
        <v>10</v>
      </c>
      <c r="O52" s="31">
        <v>490</v>
      </c>
      <c r="P52" s="33" t="s">
        <v>10</v>
      </c>
      <c r="Q52" s="33" t="s">
        <v>10</v>
      </c>
      <c r="R52" s="47">
        <v>97.3</v>
      </c>
      <c r="S52" s="60">
        <v>121</v>
      </c>
      <c r="T52" s="60">
        <v>127</v>
      </c>
      <c r="U52" s="60">
        <v>16.399999999999999</v>
      </c>
      <c r="V52" s="60">
        <v>46.1</v>
      </c>
      <c r="W52" s="60">
        <v>45.8</v>
      </c>
      <c r="X52" s="60">
        <v>34.700000000000003</v>
      </c>
      <c r="Y52" s="60">
        <v>16.399999999999999</v>
      </c>
      <c r="Z52" s="60">
        <v>16.399999999999999</v>
      </c>
      <c r="AA52" s="47">
        <v>116.9</v>
      </c>
      <c r="AB52" s="60">
        <v>96.4</v>
      </c>
      <c r="AC52" s="47">
        <v>96.6</v>
      </c>
      <c r="AD52" s="47">
        <v>9</v>
      </c>
      <c r="AE52" s="60">
        <v>9.8000000000000007</v>
      </c>
      <c r="AF52" s="60">
        <v>10.7</v>
      </c>
      <c r="AG52" s="61">
        <v>31.900000000000006</v>
      </c>
      <c r="AH52" s="61">
        <v>46.9</v>
      </c>
      <c r="AI52" s="61">
        <v>47.6</v>
      </c>
      <c r="AJ52" s="61">
        <v>31.900000000000006</v>
      </c>
      <c r="AK52" s="61">
        <v>60.6</v>
      </c>
      <c r="AL52" s="61">
        <v>63.2</v>
      </c>
      <c r="AM52" s="62">
        <v>1.24</v>
      </c>
      <c r="AN52" s="62">
        <v>1.36</v>
      </c>
      <c r="AO52" s="62">
        <v>1.36</v>
      </c>
      <c r="AP52" s="47">
        <v>25.2</v>
      </c>
      <c r="AQ52" s="47">
        <v>22.4</v>
      </c>
      <c r="AR52" s="47">
        <v>22.1</v>
      </c>
      <c r="AS52" s="47">
        <v>69.2</v>
      </c>
      <c r="AT52" s="60">
        <v>56</v>
      </c>
      <c r="AU52" s="64">
        <v>53.8</v>
      </c>
      <c r="AV52" s="47">
        <v>22.4</v>
      </c>
      <c r="AW52" s="60">
        <v>29.5</v>
      </c>
      <c r="AX52" s="64">
        <v>30.7</v>
      </c>
      <c r="AY52" s="47">
        <v>0.9</v>
      </c>
      <c r="AZ52" s="60">
        <v>8.1999999999999993</v>
      </c>
      <c r="BA52" s="32">
        <v>9.3000000000000007</v>
      </c>
      <c r="BE52" s="47">
        <v>0</v>
      </c>
      <c r="BF52" s="60">
        <v>0.5</v>
      </c>
      <c r="BG52" s="32">
        <v>0.7</v>
      </c>
      <c r="BH52" s="32">
        <v>85.9</v>
      </c>
      <c r="BI52" s="32">
        <v>88.6</v>
      </c>
      <c r="BJ52" s="32">
        <v>87.4</v>
      </c>
      <c r="BK52" s="32">
        <v>100</v>
      </c>
      <c r="BL52" s="32">
        <v>84.9</v>
      </c>
      <c r="BM52" s="32">
        <v>85.4</v>
      </c>
      <c r="BN52" s="47">
        <v>100</v>
      </c>
      <c r="BO52" s="32">
        <v>76.2</v>
      </c>
      <c r="BP52" s="32">
        <v>77</v>
      </c>
      <c r="BQ52" s="32">
        <v>80.900000000000006</v>
      </c>
      <c r="BR52" s="32">
        <v>86.3</v>
      </c>
      <c r="BS52" s="32">
        <v>86.3</v>
      </c>
      <c r="BT52" s="47">
        <v>-26.324110671936758</v>
      </c>
      <c r="BU52" s="32">
        <v>-6.3</v>
      </c>
      <c r="BV52" s="32">
        <v>-5.9</v>
      </c>
      <c r="BW52" s="32">
        <v>10.6</v>
      </c>
      <c r="BX52" s="32">
        <v>9.1</v>
      </c>
      <c r="BY52" s="32">
        <v>8.9</v>
      </c>
      <c r="BZ52" s="63">
        <v>16</v>
      </c>
      <c r="CA52" s="63">
        <v>15.36</v>
      </c>
      <c r="CB52" s="63">
        <v>15.5</v>
      </c>
      <c r="CC52" s="32">
        <v>15.8</v>
      </c>
      <c r="CD52" s="32">
        <v>14.8</v>
      </c>
      <c r="CE52" s="32">
        <v>14.7</v>
      </c>
      <c r="CF52" s="32"/>
      <c r="CG52" s="32"/>
      <c r="CH52" s="32"/>
      <c r="CI52" s="32"/>
      <c r="CK52" s="33"/>
      <c r="CL52" s="32">
        <v>88</v>
      </c>
      <c r="CM52" s="32">
        <v>82.6</v>
      </c>
      <c r="CN52" s="32">
        <v>75.599999999999994</v>
      </c>
      <c r="CO52" s="32">
        <v>6.5</v>
      </c>
      <c r="CP52" s="32">
        <v>5.2</v>
      </c>
      <c r="CQ52" s="32">
        <v>5.3</v>
      </c>
      <c r="CR52" s="64">
        <v>44.9</v>
      </c>
      <c r="CS52" s="64">
        <v>42.5</v>
      </c>
      <c r="CT52" s="64">
        <v>42.9</v>
      </c>
      <c r="CU52" s="32" t="str">
        <f t="shared" si="1"/>
        <v>9830649N</v>
      </c>
      <c r="CV52" s="47">
        <v>18.886679920477135</v>
      </c>
      <c r="CW52" s="47">
        <v>35.323259846420605</v>
      </c>
      <c r="CX52" s="47">
        <v>37.207235798159317</v>
      </c>
      <c r="DA52" s="68"/>
    </row>
    <row r="53" spans="1:105" x14ac:dyDescent="0.2">
      <c r="A53" s="30" t="s">
        <v>188</v>
      </c>
      <c r="B53" s="30" t="s">
        <v>101</v>
      </c>
      <c r="C53" s="30" t="s">
        <v>27</v>
      </c>
      <c r="D53" s="30" t="s">
        <v>117</v>
      </c>
      <c r="E53" s="30" t="s">
        <v>112</v>
      </c>
      <c r="F53" s="31">
        <v>364</v>
      </c>
      <c r="G53" s="31" t="s">
        <v>10</v>
      </c>
      <c r="H53" s="31" t="s">
        <v>10</v>
      </c>
      <c r="I53" s="31">
        <v>545</v>
      </c>
      <c r="J53" s="31" t="s">
        <v>10</v>
      </c>
      <c r="K53" s="31" t="s">
        <v>10</v>
      </c>
      <c r="L53" s="31">
        <v>552</v>
      </c>
      <c r="M53" s="33" t="s">
        <v>10</v>
      </c>
      <c r="N53" s="33" t="s">
        <v>10</v>
      </c>
      <c r="O53" s="31">
        <v>581</v>
      </c>
      <c r="P53" s="33" t="s">
        <v>10</v>
      </c>
      <c r="Q53" s="33" t="s">
        <v>10</v>
      </c>
      <c r="R53" s="47">
        <v>104.1</v>
      </c>
      <c r="S53" s="60">
        <v>121</v>
      </c>
      <c r="T53" s="60">
        <v>127</v>
      </c>
      <c r="U53" s="60">
        <v>56</v>
      </c>
      <c r="V53" s="60">
        <v>46.1</v>
      </c>
      <c r="W53" s="60">
        <v>45.8</v>
      </c>
      <c r="X53" s="60">
        <v>4.9000000000000004</v>
      </c>
      <c r="Y53" s="60">
        <v>16.399999999999999</v>
      </c>
      <c r="Z53" s="60">
        <v>16.399999999999999</v>
      </c>
      <c r="AA53" s="47">
        <v>87.1</v>
      </c>
      <c r="AB53" s="60">
        <v>96.4</v>
      </c>
      <c r="AC53" s="47">
        <v>96.6</v>
      </c>
      <c r="AD53" s="47">
        <v>7.8</v>
      </c>
      <c r="AE53" s="60">
        <v>9.8000000000000007</v>
      </c>
      <c r="AF53" s="60">
        <v>10.7</v>
      </c>
      <c r="AG53" s="61">
        <v>50</v>
      </c>
      <c r="AH53" s="61">
        <v>46.9</v>
      </c>
      <c r="AI53" s="61">
        <v>47.6</v>
      </c>
      <c r="AJ53" s="61">
        <v>62.8</v>
      </c>
      <c r="AK53" s="61">
        <v>60.6</v>
      </c>
      <c r="AL53" s="61">
        <v>63.2</v>
      </c>
      <c r="AM53" s="62">
        <v>1.22</v>
      </c>
      <c r="AN53" s="62">
        <v>1.36</v>
      </c>
      <c r="AO53" s="62">
        <v>1.36</v>
      </c>
      <c r="AP53" s="47">
        <v>23.9</v>
      </c>
      <c r="AQ53" s="47">
        <v>22.4</v>
      </c>
      <c r="AR53" s="47">
        <v>22.1</v>
      </c>
      <c r="AS53" s="47">
        <v>56.3</v>
      </c>
      <c r="AT53" s="60">
        <v>56</v>
      </c>
      <c r="AU53" s="64">
        <v>53.8</v>
      </c>
      <c r="AV53" s="47">
        <v>30.3</v>
      </c>
      <c r="AW53" s="60">
        <v>29.5</v>
      </c>
      <c r="AX53" s="64">
        <v>30.7</v>
      </c>
      <c r="AY53" s="47">
        <v>8.4</v>
      </c>
      <c r="AZ53" s="60">
        <v>8.1999999999999993</v>
      </c>
      <c r="BA53" s="32">
        <v>9.3000000000000007</v>
      </c>
      <c r="BE53" s="47">
        <v>0.8</v>
      </c>
      <c r="BF53" s="60">
        <v>0.5</v>
      </c>
      <c r="BG53" s="32">
        <v>0.7</v>
      </c>
      <c r="BH53" s="32">
        <v>89.5</v>
      </c>
      <c r="BI53" s="32">
        <v>88.6</v>
      </c>
      <c r="BJ53" s="32">
        <v>87.4</v>
      </c>
      <c r="BK53" s="32">
        <v>82.8</v>
      </c>
      <c r="BL53" s="32">
        <v>84.9</v>
      </c>
      <c r="BM53" s="32">
        <v>85.4</v>
      </c>
      <c r="BN53" s="47">
        <v>90</v>
      </c>
      <c r="BO53" s="32">
        <v>76.2</v>
      </c>
      <c r="BP53" s="32">
        <v>77</v>
      </c>
      <c r="BQ53" s="32">
        <v>81</v>
      </c>
      <c r="BR53" s="32">
        <v>86.3</v>
      </c>
      <c r="BS53" s="32">
        <v>86.3</v>
      </c>
      <c r="BT53" s="47">
        <v>-0.98591549295774428</v>
      </c>
      <c r="BU53" s="32">
        <v>-6.3</v>
      </c>
      <c r="BV53" s="32">
        <v>-5.9</v>
      </c>
      <c r="BW53" s="32">
        <v>7.7</v>
      </c>
      <c r="BX53" s="32">
        <v>9.1</v>
      </c>
      <c r="BY53" s="32">
        <v>8.9</v>
      </c>
      <c r="BZ53" s="63">
        <v>15.1</v>
      </c>
      <c r="CA53" s="63">
        <v>15.36</v>
      </c>
      <c r="CB53" s="63">
        <v>15.5</v>
      </c>
      <c r="CC53" s="32">
        <v>14.5</v>
      </c>
      <c r="CD53" s="32">
        <v>14.8</v>
      </c>
      <c r="CE53" s="32">
        <v>14.7</v>
      </c>
      <c r="CF53" s="32"/>
      <c r="CG53" s="32"/>
      <c r="CH53" s="32"/>
      <c r="CI53" s="32"/>
      <c r="CK53" s="33"/>
      <c r="CL53" s="32">
        <v>86.7</v>
      </c>
      <c r="CM53" s="32">
        <v>82.6</v>
      </c>
      <c r="CN53" s="32">
        <v>75.599999999999994</v>
      </c>
      <c r="CO53" s="32">
        <v>3.4</v>
      </c>
      <c r="CP53" s="32">
        <v>5.2</v>
      </c>
      <c r="CQ53" s="32">
        <v>5.3</v>
      </c>
      <c r="CR53" s="64">
        <v>39</v>
      </c>
      <c r="CS53" s="64">
        <v>42.5</v>
      </c>
      <c r="CT53" s="64">
        <v>42.9</v>
      </c>
      <c r="CU53" s="32" t="str">
        <f t="shared" si="1"/>
        <v>9830656W</v>
      </c>
      <c r="CV53" s="47">
        <v>30.253623188405797</v>
      </c>
      <c r="CW53" s="47">
        <v>35.323259846420605</v>
      </c>
      <c r="CX53" s="47">
        <v>37.207235798159317</v>
      </c>
      <c r="DA53" s="68"/>
    </row>
    <row r="54" spans="1:105" x14ac:dyDescent="0.2">
      <c r="A54" s="30" t="s">
        <v>189</v>
      </c>
      <c r="B54" s="30" t="s">
        <v>102</v>
      </c>
      <c r="C54" s="30" t="s">
        <v>27</v>
      </c>
      <c r="D54" s="30" t="s">
        <v>131</v>
      </c>
      <c r="E54" s="30" t="s">
        <v>112</v>
      </c>
      <c r="F54" s="31" t="s">
        <v>10</v>
      </c>
      <c r="G54" s="31" t="s">
        <v>10</v>
      </c>
      <c r="H54" s="31" t="s">
        <v>10</v>
      </c>
      <c r="I54" s="31">
        <v>546</v>
      </c>
      <c r="J54" s="31" t="s">
        <v>10</v>
      </c>
      <c r="K54" s="31" t="s">
        <v>10</v>
      </c>
      <c r="L54" s="31">
        <v>595</v>
      </c>
      <c r="M54" s="33" t="s">
        <v>10</v>
      </c>
      <c r="N54" s="33" t="s">
        <v>10</v>
      </c>
      <c r="O54" s="31">
        <v>610</v>
      </c>
      <c r="P54" s="33" t="s">
        <v>10</v>
      </c>
      <c r="Q54" s="33" t="s">
        <v>10</v>
      </c>
      <c r="R54" s="47">
        <v>100.9</v>
      </c>
      <c r="S54" s="60">
        <v>121</v>
      </c>
      <c r="T54" s="60">
        <v>127</v>
      </c>
      <c r="U54" s="60">
        <v>31.1</v>
      </c>
      <c r="V54" s="60">
        <v>46.1</v>
      </c>
      <c r="W54" s="60">
        <v>45.8</v>
      </c>
      <c r="X54" s="60">
        <v>23.8</v>
      </c>
      <c r="Y54" s="60">
        <v>16.399999999999999</v>
      </c>
      <c r="Z54" s="60">
        <v>16.399999999999999</v>
      </c>
      <c r="AA54" s="47">
        <v>107.1</v>
      </c>
      <c r="AB54" s="60">
        <v>96.4</v>
      </c>
      <c r="AC54" s="47">
        <v>96.6</v>
      </c>
      <c r="AD54" s="47">
        <v>11.8</v>
      </c>
      <c r="AE54" s="60">
        <v>9.8000000000000007</v>
      </c>
      <c r="AF54" s="60">
        <v>10.7</v>
      </c>
      <c r="AG54" s="61">
        <v>34</v>
      </c>
      <c r="AH54" s="61">
        <v>46.9</v>
      </c>
      <c r="AI54" s="61">
        <v>47.6</v>
      </c>
      <c r="AJ54" s="61">
        <v>48.4</v>
      </c>
      <c r="AK54" s="61">
        <v>60.6</v>
      </c>
      <c r="AL54" s="61">
        <v>63.2</v>
      </c>
      <c r="AM54" s="62">
        <v>1.21</v>
      </c>
      <c r="AN54" s="62">
        <v>1.36</v>
      </c>
      <c r="AO54" s="62">
        <v>1.36</v>
      </c>
      <c r="AP54" s="47">
        <v>25.1</v>
      </c>
      <c r="AQ54" s="47">
        <v>22.4</v>
      </c>
      <c r="AR54" s="47">
        <v>22.1</v>
      </c>
      <c r="AS54" s="47">
        <v>68.400000000000006</v>
      </c>
      <c r="AT54" s="60">
        <v>56</v>
      </c>
      <c r="AU54" s="64">
        <v>53.8</v>
      </c>
      <c r="AV54" s="47">
        <v>25.6</v>
      </c>
      <c r="AW54" s="60">
        <v>29.5</v>
      </c>
      <c r="AX54" s="64">
        <v>30.7</v>
      </c>
      <c r="AY54" s="47">
        <v>2.6</v>
      </c>
      <c r="AZ54" s="60">
        <v>8.1999999999999993</v>
      </c>
      <c r="BA54" s="32">
        <v>9.3000000000000007</v>
      </c>
      <c r="BE54" s="47">
        <v>0</v>
      </c>
      <c r="BF54" s="60">
        <v>0.5</v>
      </c>
      <c r="BG54" s="32">
        <v>0.7</v>
      </c>
      <c r="BH54" s="32">
        <v>95.1</v>
      </c>
      <c r="BI54" s="32">
        <v>88.6</v>
      </c>
      <c r="BJ54" s="32">
        <v>87.4</v>
      </c>
      <c r="BK54" s="32">
        <v>93.9</v>
      </c>
      <c r="BL54" s="32">
        <v>84.9</v>
      </c>
      <c r="BM54" s="32">
        <v>85.4</v>
      </c>
      <c r="BN54" s="47">
        <v>60</v>
      </c>
      <c r="BO54" s="32">
        <v>76.2</v>
      </c>
      <c r="BP54" s="32">
        <v>77</v>
      </c>
      <c r="BQ54" s="32">
        <v>97.9</v>
      </c>
      <c r="BR54" s="32">
        <v>86.3</v>
      </c>
      <c r="BS54" s="32">
        <v>86.3</v>
      </c>
      <c r="BT54" s="47">
        <v>-0.61936936936935183</v>
      </c>
      <c r="BU54" s="32">
        <v>-6.3</v>
      </c>
      <c r="BV54" s="32">
        <v>-5.9</v>
      </c>
      <c r="BW54" s="32">
        <v>10.5</v>
      </c>
      <c r="BX54" s="32">
        <v>9.1</v>
      </c>
      <c r="BY54" s="32">
        <v>8.9</v>
      </c>
      <c r="BZ54" s="63">
        <v>16.5</v>
      </c>
      <c r="CA54" s="63">
        <v>15.36</v>
      </c>
      <c r="CB54" s="63">
        <v>15.5</v>
      </c>
      <c r="CC54" s="32">
        <v>15.7</v>
      </c>
      <c r="CD54" s="32">
        <v>14.8</v>
      </c>
      <c r="CE54" s="32">
        <v>14.7</v>
      </c>
      <c r="CF54" s="32"/>
      <c r="CG54" s="32"/>
      <c r="CH54" s="32"/>
      <c r="CI54" s="32"/>
      <c r="CK54" s="33"/>
      <c r="CL54" s="32">
        <v>89.4</v>
      </c>
      <c r="CM54" s="32">
        <v>82.6</v>
      </c>
      <c r="CN54" s="32">
        <v>75.599999999999994</v>
      </c>
      <c r="CO54" s="32">
        <v>4</v>
      </c>
      <c r="CP54" s="32">
        <v>5.2</v>
      </c>
      <c r="CQ54" s="32">
        <v>5.3</v>
      </c>
      <c r="CR54" s="64">
        <v>41.8</v>
      </c>
      <c r="CS54" s="64">
        <v>42.5</v>
      </c>
      <c r="CT54" s="64">
        <v>42.9</v>
      </c>
      <c r="CU54" s="32" t="str">
        <f t="shared" si="1"/>
        <v>9830681Y</v>
      </c>
      <c r="CV54" s="47">
        <v>18.655462184873951</v>
      </c>
      <c r="CW54" s="47">
        <v>35.323259846420605</v>
      </c>
      <c r="CX54" s="47">
        <v>37.207235798159317</v>
      </c>
      <c r="DA54" s="68"/>
    </row>
    <row r="55" spans="1:105" x14ac:dyDescent="0.2">
      <c r="A55" s="30" t="s">
        <v>190</v>
      </c>
      <c r="B55" s="30" t="s">
        <v>103</v>
      </c>
      <c r="C55" s="30" t="s">
        <v>27</v>
      </c>
      <c r="D55" s="30" t="s">
        <v>122</v>
      </c>
      <c r="E55" s="30" t="s">
        <v>112</v>
      </c>
      <c r="F55" s="31" t="s">
        <v>10</v>
      </c>
      <c r="G55" s="31" t="s">
        <v>10</v>
      </c>
      <c r="H55" s="31" t="s">
        <v>10</v>
      </c>
      <c r="I55" s="31">
        <v>428</v>
      </c>
      <c r="J55" s="31" t="s">
        <v>10</v>
      </c>
      <c r="K55" s="31" t="s">
        <v>10</v>
      </c>
      <c r="L55" s="31">
        <v>426</v>
      </c>
      <c r="M55" s="33" t="s">
        <v>10</v>
      </c>
      <c r="N55" s="33" t="s">
        <v>10</v>
      </c>
      <c r="O55" s="31">
        <v>449</v>
      </c>
      <c r="P55" s="33" t="s">
        <v>10</v>
      </c>
      <c r="Q55" s="33" t="s">
        <v>10</v>
      </c>
      <c r="R55" s="47">
        <v>115</v>
      </c>
      <c r="S55" s="60">
        <v>121</v>
      </c>
      <c r="T55" s="60">
        <v>127</v>
      </c>
      <c r="U55" s="60">
        <v>34.6</v>
      </c>
      <c r="V55" s="60">
        <v>46.1</v>
      </c>
      <c r="W55" s="60">
        <v>45.8</v>
      </c>
      <c r="X55" s="60">
        <v>16.2</v>
      </c>
      <c r="Y55" s="60">
        <v>16.399999999999999</v>
      </c>
      <c r="Z55" s="60">
        <v>16.399999999999999</v>
      </c>
      <c r="AA55" s="47">
        <v>103.3</v>
      </c>
      <c r="AB55" s="60">
        <v>96.4</v>
      </c>
      <c r="AC55" s="47">
        <v>96.6</v>
      </c>
      <c r="AD55" s="47">
        <v>5.6</v>
      </c>
      <c r="AE55" s="60">
        <v>9.8000000000000007</v>
      </c>
      <c r="AF55" s="60">
        <v>10.7</v>
      </c>
      <c r="AG55" s="61">
        <v>40</v>
      </c>
      <c r="AH55" s="61">
        <v>46.9</v>
      </c>
      <c r="AI55" s="61">
        <v>47.6</v>
      </c>
      <c r="AJ55" s="61">
        <v>70.599999999999994</v>
      </c>
      <c r="AK55" s="61">
        <v>60.6</v>
      </c>
      <c r="AL55" s="61">
        <v>63.2</v>
      </c>
      <c r="AM55" s="62">
        <v>1.35</v>
      </c>
      <c r="AN55" s="62">
        <v>1.36</v>
      </c>
      <c r="AO55" s="62">
        <v>1.36</v>
      </c>
      <c r="AP55" s="47">
        <v>21.5</v>
      </c>
      <c r="AQ55" s="47">
        <v>22.4</v>
      </c>
      <c r="AR55" s="47">
        <v>22.1</v>
      </c>
      <c r="AS55" s="47">
        <v>48.8</v>
      </c>
      <c r="AT55" s="60">
        <v>56</v>
      </c>
      <c r="AU55" s="64">
        <v>53.8</v>
      </c>
      <c r="AV55" s="47">
        <v>22.6</v>
      </c>
      <c r="AW55" s="60">
        <v>29.5</v>
      </c>
      <c r="AX55" s="64">
        <v>30.7</v>
      </c>
      <c r="AY55" s="47">
        <v>11.9</v>
      </c>
      <c r="AZ55" s="60">
        <v>8.1999999999999993</v>
      </c>
      <c r="BA55" s="32">
        <v>9.3000000000000007</v>
      </c>
      <c r="BB55" s="61"/>
      <c r="BD55" s="31"/>
      <c r="BE55" s="47">
        <v>0</v>
      </c>
      <c r="BF55" s="60">
        <v>0.5</v>
      </c>
      <c r="BG55" s="32">
        <v>0.7</v>
      </c>
      <c r="BH55" s="32">
        <v>84.9</v>
      </c>
      <c r="BI55" s="32">
        <v>88.6</v>
      </c>
      <c r="BJ55" s="32">
        <v>87.4</v>
      </c>
      <c r="BK55" s="32">
        <v>89.5</v>
      </c>
      <c r="BL55" s="32">
        <v>84.9</v>
      </c>
      <c r="BM55" s="32">
        <v>85.4</v>
      </c>
      <c r="BN55" s="47">
        <v>62.5</v>
      </c>
      <c r="BO55" s="32">
        <v>76.2</v>
      </c>
      <c r="BP55" s="32">
        <v>77</v>
      </c>
      <c r="BQ55" s="32">
        <v>94</v>
      </c>
      <c r="BR55" s="32">
        <v>86.3</v>
      </c>
      <c r="BS55" s="32">
        <v>86.3</v>
      </c>
      <c r="BT55" s="47">
        <v>-6.9032258064516157</v>
      </c>
      <c r="BU55" s="32">
        <v>-6.3</v>
      </c>
      <c r="BV55" s="32">
        <v>-5.9</v>
      </c>
      <c r="BW55" s="32">
        <v>9.5</v>
      </c>
      <c r="BX55" s="32">
        <v>9.1</v>
      </c>
      <c r="BY55" s="32">
        <v>8.9</v>
      </c>
      <c r="BZ55" s="63">
        <v>14.4</v>
      </c>
      <c r="CA55" s="63">
        <v>15.36</v>
      </c>
      <c r="CB55" s="63">
        <v>15.5</v>
      </c>
      <c r="CC55" s="32">
        <v>15.8</v>
      </c>
      <c r="CD55" s="32">
        <v>14.8</v>
      </c>
      <c r="CE55" s="32">
        <v>14.7</v>
      </c>
      <c r="CF55" s="32"/>
      <c r="CG55" s="32"/>
      <c r="CH55" s="32"/>
      <c r="CI55" s="32"/>
      <c r="CK55" s="33"/>
      <c r="CL55" s="32">
        <v>82.3</v>
      </c>
      <c r="CM55" s="32">
        <v>82.6</v>
      </c>
      <c r="CN55" s="32">
        <v>75.599999999999994</v>
      </c>
      <c r="CO55" s="32">
        <v>3</v>
      </c>
      <c r="CP55" s="32">
        <v>5.2</v>
      </c>
      <c r="CQ55" s="32">
        <v>5.3</v>
      </c>
      <c r="CR55" s="64">
        <v>37.799999999999997</v>
      </c>
      <c r="CS55" s="64">
        <v>42.5</v>
      </c>
      <c r="CT55" s="64">
        <v>42.9</v>
      </c>
      <c r="CU55" s="32" t="str">
        <f t="shared" si="1"/>
        <v>9830691J</v>
      </c>
      <c r="CV55" s="47">
        <v>24.88262910798122</v>
      </c>
      <c r="CW55" s="47">
        <v>35.323259846420605</v>
      </c>
      <c r="CX55" s="47">
        <v>37.207235798159317</v>
      </c>
      <c r="DA55" s="68"/>
    </row>
    <row r="56" spans="1:105" x14ac:dyDescent="0.2">
      <c r="A56" s="30" t="s">
        <v>246</v>
      </c>
      <c r="B56" s="30" t="s">
        <v>247</v>
      </c>
      <c r="C56" s="30" t="s">
        <v>27</v>
      </c>
      <c r="D56" s="30" t="s">
        <v>131</v>
      </c>
      <c r="E56" s="30" t="s">
        <v>112</v>
      </c>
      <c r="F56" s="31" t="s">
        <v>10</v>
      </c>
      <c r="G56" s="31" t="s">
        <v>10</v>
      </c>
      <c r="H56" s="31" t="s">
        <v>10</v>
      </c>
      <c r="I56" s="30">
        <v>460</v>
      </c>
      <c r="J56" s="31" t="s">
        <v>10</v>
      </c>
      <c r="K56" s="31" t="s">
        <v>10</v>
      </c>
      <c r="L56" s="31">
        <v>422</v>
      </c>
      <c r="M56" s="33" t="s">
        <v>10</v>
      </c>
      <c r="N56" s="33" t="s">
        <v>10</v>
      </c>
      <c r="O56" s="31">
        <v>404</v>
      </c>
      <c r="P56" s="33" t="s">
        <v>10</v>
      </c>
      <c r="Q56" s="33" t="s">
        <v>10</v>
      </c>
      <c r="R56" s="47">
        <v>102.3</v>
      </c>
      <c r="S56" s="60">
        <v>121</v>
      </c>
      <c r="T56" s="60">
        <v>127</v>
      </c>
      <c r="U56" s="60">
        <v>52.9</v>
      </c>
      <c r="V56" s="60">
        <v>46.1</v>
      </c>
      <c r="W56" s="60">
        <v>45.8</v>
      </c>
      <c r="X56" s="60">
        <v>9.3000000000000007</v>
      </c>
      <c r="Y56" s="60">
        <v>16.399999999999999</v>
      </c>
      <c r="Z56" s="60">
        <v>16.399999999999999</v>
      </c>
      <c r="AA56" s="47">
        <v>89</v>
      </c>
      <c r="AB56" s="60">
        <v>96.4</v>
      </c>
      <c r="AC56" s="47">
        <v>96.6</v>
      </c>
      <c r="AD56" s="47">
        <v>6.2</v>
      </c>
      <c r="AE56" s="60">
        <v>9.8000000000000007</v>
      </c>
      <c r="AF56" s="60">
        <v>10.7</v>
      </c>
      <c r="AG56" s="61">
        <v>51.1</v>
      </c>
      <c r="AH56" s="61">
        <v>46.9</v>
      </c>
      <c r="AI56" s="61">
        <v>47.6</v>
      </c>
      <c r="AJ56" s="61">
        <v>62.1</v>
      </c>
      <c r="AK56" s="61">
        <v>60.6</v>
      </c>
      <c r="AL56" s="61">
        <v>63.2</v>
      </c>
      <c r="AM56" s="62">
        <v>1.24</v>
      </c>
      <c r="AN56" s="62">
        <v>1.36</v>
      </c>
      <c r="AO56" s="62">
        <v>1.36</v>
      </c>
      <c r="AP56" s="47">
        <v>23.4</v>
      </c>
      <c r="AQ56" s="47">
        <v>22.4</v>
      </c>
      <c r="AR56" s="47">
        <v>22.1</v>
      </c>
      <c r="AS56" s="47">
        <v>46.8</v>
      </c>
      <c r="AT56" s="60">
        <v>56</v>
      </c>
      <c r="AU56" s="64">
        <v>53.8</v>
      </c>
      <c r="AV56" s="47">
        <v>34.1</v>
      </c>
      <c r="AW56" s="60">
        <v>29.5</v>
      </c>
      <c r="AX56" s="64">
        <v>30.7</v>
      </c>
      <c r="AY56" s="47">
        <v>16.7</v>
      </c>
      <c r="AZ56" s="60">
        <v>8.1999999999999993</v>
      </c>
      <c r="BA56" s="32">
        <v>9.3000000000000007</v>
      </c>
      <c r="BB56" s="61"/>
      <c r="BD56" s="31"/>
      <c r="BE56" s="47">
        <v>0</v>
      </c>
      <c r="BF56" s="60">
        <v>0.5</v>
      </c>
      <c r="BG56" s="32">
        <v>0.7</v>
      </c>
      <c r="BH56" s="61">
        <v>93.7</v>
      </c>
      <c r="BI56" s="32">
        <v>88.6</v>
      </c>
      <c r="BJ56" s="32">
        <v>87.4</v>
      </c>
      <c r="BK56" s="61">
        <v>100</v>
      </c>
      <c r="BL56" s="32">
        <v>84.9</v>
      </c>
      <c r="BM56" s="32">
        <v>85.4</v>
      </c>
      <c r="BN56" s="61">
        <v>85.7</v>
      </c>
      <c r="BO56" s="32">
        <v>76.2</v>
      </c>
      <c r="BP56" s="32">
        <v>77</v>
      </c>
      <c r="BQ56" s="32">
        <v>95.8</v>
      </c>
      <c r="BR56" s="32">
        <v>86.3</v>
      </c>
      <c r="BS56" s="32">
        <v>86.3</v>
      </c>
      <c r="BT56" s="47">
        <v>8.5034013605422842E-2</v>
      </c>
      <c r="BU56" s="32">
        <v>-6.3</v>
      </c>
      <c r="BV56" s="32">
        <v>-5.9</v>
      </c>
      <c r="BW56" s="32">
        <v>8.8000000000000007</v>
      </c>
      <c r="BX56" s="32">
        <v>9.1</v>
      </c>
      <c r="BY56" s="32">
        <v>8.9</v>
      </c>
      <c r="BZ56" s="63">
        <v>16.3</v>
      </c>
      <c r="CA56" s="63">
        <v>15.36</v>
      </c>
      <c r="CB56" s="63">
        <v>15.5</v>
      </c>
      <c r="CC56" s="32">
        <v>15.1</v>
      </c>
      <c r="CD56" s="32">
        <v>14.8</v>
      </c>
      <c r="CE56" s="32">
        <v>14.7</v>
      </c>
      <c r="CF56" s="61"/>
      <c r="CG56" s="32"/>
      <c r="CH56" s="32"/>
      <c r="CI56" s="32"/>
      <c r="CK56" s="33"/>
      <c r="CL56" s="32">
        <v>82.8</v>
      </c>
      <c r="CM56" s="32">
        <v>82.6</v>
      </c>
      <c r="CN56" s="32">
        <v>75.599999999999994</v>
      </c>
      <c r="CO56" s="32">
        <v>2.9</v>
      </c>
      <c r="CP56" s="32">
        <v>5.2</v>
      </c>
      <c r="CQ56" s="32">
        <v>5.3</v>
      </c>
      <c r="CR56" s="64">
        <v>39.299999999999997</v>
      </c>
      <c r="CS56" s="64">
        <v>42.5</v>
      </c>
      <c r="CT56" s="64">
        <v>42.9</v>
      </c>
      <c r="CU56" s="32" t="str">
        <f t="shared" si="1"/>
        <v>9830698S</v>
      </c>
      <c r="CV56" s="47">
        <v>31.753554502369667</v>
      </c>
      <c r="CW56" s="47">
        <v>35.323259846420605</v>
      </c>
      <c r="CX56" s="47">
        <v>37.207235798159317</v>
      </c>
      <c r="DA56" s="68"/>
    </row>
    <row r="57" spans="1:105" x14ac:dyDescent="0.2">
      <c r="P57" s="31"/>
      <c r="CV57" s="47"/>
    </row>
    <row r="58" spans="1:105" s="43" customFormat="1" ht="38.25" x14ac:dyDescent="0.2">
      <c r="A58" s="37" t="s">
        <v>138</v>
      </c>
      <c r="B58" s="37" t="s">
        <v>108</v>
      </c>
      <c r="C58" s="37"/>
      <c r="D58" s="37"/>
      <c r="E58" s="37"/>
      <c r="F58" s="37" t="s">
        <v>266</v>
      </c>
      <c r="G58" s="37" t="s">
        <v>265</v>
      </c>
      <c r="H58" s="37" t="s">
        <v>49</v>
      </c>
      <c r="I58" s="37" t="s">
        <v>50</v>
      </c>
      <c r="J58" s="37" t="s">
        <v>317</v>
      </c>
      <c r="K58" s="37" t="s">
        <v>318</v>
      </c>
      <c r="L58" s="37" t="s">
        <v>46</v>
      </c>
      <c r="M58" s="37" t="s">
        <v>45</v>
      </c>
      <c r="N58" s="37" t="s">
        <v>48</v>
      </c>
      <c r="O58" s="37" t="s">
        <v>47</v>
      </c>
      <c r="BB58" s="65"/>
    </row>
    <row r="59" spans="1:105" s="56" customFormat="1" x14ac:dyDescent="0.2">
      <c r="A59" s="34" t="s">
        <v>139</v>
      </c>
      <c r="B59" s="34" t="s">
        <v>51</v>
      </c>
      <c r="C59" s="35"/>
      <c r="D59" s="35"/>
      <c r="E59" s="36"/>
      <c r="F59" s="36">
        <v>3.5040745052386488</v>
      </c>
      <c r="G59" s="36">
        <v>2.6175548589341693</v>
      </c>
      <c r="H59" s="36">
        <v>-2.1088435374149648</v>
      </c>
      <c r="I59" s="36">
        <v>-0.56074766355140204</v>
      </c>
      <c r="J59" s="36">
        <v>2.0352035203520344</v>
      </c>
      <c r="K59" s="36">
        <v>3.020833333333333</v>
      </c>
      <c r="L59" s="36">
        <v>1.0591133004926101</v>
      </c>
      <c r="M59" s="36">
        <v>2.5672645739910318</v>
      </c>
      <c r="N59" s="36">
        <v>3.5</v>
      </c>
      <c r="O59" s="36"/>
      <c r="AS59" s="59"/>
      <c r="AT59" s="59"/>
      <c r="AV59" s="59"/>
      <c r="AW59" s="59"/>
      <c r="BB59" s="57"/>
      <c r="BQ59" s="58"/>
      <c r="BR59" s="58"/>
      <c r="BS59" s="57"/>
      <c r="BT59" s="17"/>
    </row>
    <row r="60" spans="1:105" s="56" customFormat="1" x14ac:dyDescent="0.2">
      <c r="A60" s="34" t="s">
        <v>140</v>
      </c>
      <c r="B60" s="34" t="s">
        <v>52</v>
      </c>
      <c r="C60" s="35"/>
      <c r="D60" s="35"/>
      <c r="E60" s="36"/>
      <c r="F60" s="36">
        <v>-2.1536670547147847</v>
      </c>
      <c r="G60" s="36">
        <v>-0.84639498432601734</v>
      </c>
      <c r="H60" s="36">
        <v>0.40816326530612346</v>
      </c>
      <c r="I60" s="36">
        <v>-0.63084112149532734</v>
      </c>
      <c r="J60" s="36">
        <v>-1.9251925192519257</v>
      </c>
      <c r="K60" s="36">
        <v>-1.7361111111111109</v>
      </c>
      <c r="L60" s="36">
        <v>-0.34482758620689447</v>
      </c>
      <c r="M60" s="36">
        <v>0.89686098654708513</v>
      </c>
      <c r="N60" s="36">
        <v>3.5</v>
      </c>
      <c r="O60" s="36"/>
      <c r="AS60" s="59"/>
      <c r="AT60" s="59"/>
      <c r="AV60" s="59"/>
      <c r="AW60" s="59"/>
      <c r="BB60" s="57"/>
      <c r="BQ60" s="58"/>
      <c r="BR60" s="58"/>
      <c r="BS60" s="57"/>
      <c r="BT60" s="17"/>
    </row>
    <row r="61" spans="1:105" s="56" customFormat="1" x14ac:dyDescent="0.2">
      <c r="A61" s="34" t="s">
        <v>141</v>
      </c>
      <c r="B61" s="34" t="s">
        <v>53</v>
      </c>
      <c r="C61" s="35"/>
      <c r="D61" s="35"/>
      <c r="E61" s="36"/>
      <c r="F61" s="36">
        <v>0.58207217694994173</v>
      </c>
      <c r="G61" s="36">
        <v>-1.4576802507836983</v>
      </c>
      <c r="H61" s="36">
        <v>-1.0204081632653061</v>
      </c>
      <c r="I61" s="36">
        <v>-0.35046728971962621</v>
      </c>
      <c r="J61" s="36">
        <v>-1.3091309130913089</v>
      </c>
      <c r="K61" s="36">
        <v>-1.4236111111111107</v>
      </c>
      <c r="L61" s="36">
        <v>0.61576354679802958</v>
      </c>
      <c r="M61" s="36">
        <v>-1.3901345291479819</v>
      </c>
      <c r="N61" s="36">
        <v>-1.7857142857142858</v>
      </c>
      <c r="O61" s="36"/>
      <c r="AS61" s="59"/>
      <c r="AT61" s="59"/>
      <c r="AV61" s="59"/>
      <c r="AW61" s="59"/>
      <c r="BB61" s="57"/>
      <c r="BQ61" s="58"/>
      <c r="BR61" s="58"/>
      <c r="BS61" s="57"/>
      <c r="BT61" s="17"/>
    </row>
    <row r="62" spans="1:105" s="56" customFormat="1" x14ac:dyDescent="0.2">
      <c r="A62" s="34" t="s">
        <v>142</v>
      </c>
      <c r="B62" s="34" t="s">
        <v>54</v>
      </c>
      <c r="C62" s="35"/>
      <c r="D62" s="35"/>
      <c r="E62" s="36"/>
      <c r="F62" s="36">
        <v>1.29220023282887</v>
      </c>
      <c r="G62" s="36">
        <v>-1.9905956112852643</v>
      </c>
      <c r="H62" s="36">
        <v>-1.8367346938775506</v>
      </c>
      <c r="I62" s="36">
        <v>-1.4485981308411213</v>
      </c>
      <c r="J62" s="36">
        <v>-0.75907590759075882</v>
      </c>
      <c r="K62" s="36">
        <v>-1.6435185185185188</v>
      </c>
      <c r="L62" s="36">
        <v>-2.9802955665024617</v>
      </c>
      <c r="M62" s="36">
        <v>-1.4573991031390134</v>
      </c>
      <c r="N62" s="36">
        <v>3.5</v>
      </c>
      <c r="O62" s="36"/>
      <c r="AS62" s="59"/>
      <c r="AT62" s="59"/>
      <c r="AV62" s="59"/>
      <c r="AW62" s="59"/>
      <c r="BB62" s="57"/>
      <c r="BQ62" s="58"/>
      <c r="BR62" s="58"/>
      <c r="BS62" s="57"/>
      <c r="BT62" s="17"/>
    </row>
    <row r="63" spans="1:105" s="56" customFormat="1" x14ac:dyDescent="0.2">
      <c r="A63" s="34" t="s">
        <v>143</v>
      </c>
      <c r="B63" s="34" t="s">
        <v>55</v>
      </c>
      <c r="C63" s="35"/>
      <c r="D63" s="35"/>
      <c r="E63" s="36"/>
      <c r="F63" s="36">
        <v>1.688009313154831</v>
      </c>
      <c r="G63" s="36">
        <v>-1.0031347962382431</v>
      </c>
      <c r="H63" s="36">
        <v>1.1564625850340156</v>
      </c>
      <c r="I63" s="36">
        <v>4.6728971962616661E-2</v>
      </c>
      <c r="J63" s="36">
        <v>-0.16501650165016502</v>
      </c>
      <c r="K63" s="36">
        <v>0.21990740740740805</v>
      </c>
      <c r="L63" s="36">
        <v>-3.0541871921182242</v>
      </c>
      <c r="M63" s="36">
        <v>-1.7488789237668154</v>
      </c>
      <c r="N63" s="36">
        <v>3.5</v>
      </c>
      <c r="O63" s="36"/>
      <c r="AS63" s="59"/>
      <c r="AT63" s="59"/>
      <c r="AV63" s="59"/>
      <c r="AW63" s="59"/>
      <c r="BB63" s="57"/>
      <c r="BQ63" s="58"/>
      <c r="BR63" s="58"/>
      <c r="BS63" s="57"/>
      <c r="BT63" s="17"/>
    </row>
    <row r="64" spans="1:105" s="56" customFormat="1" x14ac:dyDescent="0.2">
      <c r="A64" s="34" t="s">
        <v>144</v>
      </c>
      <c r="B64" s="34" t="s">
        <v>56</v>
      </c>
      <c r="C64" s="35"/>
      <c r="D64" s="35"/>
      <c r="E64" s="36"/>
      <c r="F64" s="36">
        <v>3.2479627473806758</v>
      </c>
      <c r="G64" s="36">
        <v>-0.36050156739811862</v>
      </c>
      <c r="H64" s="36">
        <v>-2.4489795918367334</v>
      </c>
      <c r="I64" s="36">
        <v>-1.705607476635514</v>
      </c>
      <c r="J64" s="36">
        <v>-1.5731573157315737</v>
      </c>
      <c r="K64" s="36">
        <v>-2.4421296296296289</v>
      </c>
      <c r="L64" s="36">
        <v>-4.0394088669950721</v>
      </c>
      <c r="M64" s="36">
        <v>-1.5246636771300441</v>
      </c>
      <c r="N64" s="36">
        <v>3.5</v>
      </c>
      <c r="O64" s="36"/>
      <c r="AS64" s="59"/>
      <c r="AT64" s="59"/>
      <c r="AV64" s="59"/>
      <c r="AW64" s="59"/>
      <c r="BB64" s="57"/>
      <c r="BQ64" s="58"/>
      <c r="BR64" s="58"/>
      <c r="BS64" s="57"/>
      <c r="BT64" s="17"/>
    </row>
    <row r="65" spans="1:72" s="56" customFormat="1" x14ac:dyDescent="0.2">
      <c r="A65" s="34" t="s">
        <v>145</v>
      </c>
      <c r="B65" s="34" t="s">
        <v>57</v>
      </c>
      <c r="C65" s="35"/>
      <c r="D65" s="35"/>
      <c r="E65" s="36"/>
      <c r="F65" s="36">
        <v>3.3294528521536662</v>
      </c>
      <c r="G65" s="36">
        <v>3.981191222570533</v>
      </c>
      <c r="H65" s="36">
        <v>-3.6054421768707465</v>
      </c>
      <c r="I65" s="36">
        <v>1.9626168224299063</v>
      </c>
      <c r="J65" s="36">
        <v>2.8822882288228815</v>
      </c>
      <c r="K65" s="36">
        <v>3.7268518518518516</v>
      </c>
      <c r="L65" s="36">
        <v>2.857142857142859</v>
      </c>
      <c r="M65" s="36">
        <v>3.0829596412556053</v>
      </c>
      <c r="N65" s="36">
        <v>0.17857142857142855</v>
      </c>
      <c r="O65" s="36"/>
      <c r="AS65" s="59"/>
      <c r="AT65" s="59"/>
      <c r="AV65" s="59"/>
      <c r="AW65" s="59"/>
      <c r="BB65" s="57"/>
      <c r="BQ65" s="58"/>
      <c r="BR65" s="58"/>
      <c r="BS65" s="57"/>
      <c r="BT65" s="17"/>
    </row>
    <row r="66" spans="1:72" s="56" customFormat="1" x14ac:dyDescent="0.2">
      <c r="A66" s="34" t="s">
        <v>146</v>
      </c>
      <c r="B66" s="34" t="s">
        <v>58</v>
      </c>
      <c r="C66" s="35"/>
      <c r="D66" s="35"/>
      <c r="E66" s="36"/>
      <c r="F66" s="36">
        <v>3.2596041909196738</v>
      </c>
      <c r="G66" s="36">
        <v>-1.1442006269592471</v>
      </c>
      <c r="H66" s="36">
        <v>0.3401360544217687</v>
      </c>
      <c r="I66" s="36">
        <v>1.1214953271028034</v>
      </c>
      <c r="J66" s="36">
        <v>1.6501650165016495</v>
      </c>
      <c r="K66" s="36">
        <v>0.19675925925925958</v>
      </c>
      <c r="L66" s="36">
        <v>-0.41871921182266081</v>
      </c>
      <c r="M66" s="36">
        <v>-0.16816143497757846</v>
      </c>
      <c r="N66" s="36">
        <v>3.5</v>
      </c>
      <c r="O66" s="36"/>
      <c r="AS66" s="59"/>
      <c r="AT66" s="59"/>
      <c r="AV66" s="59"/>
      <c r="AW66" s="59"/>
      <c r="BB66" s="57"/>
      <c r="BQ66" s="58"/>
      <c r="BR66" s="58"/>
      <c r="BS66" s="57"/>
      <c r="BT66" s="17"/>
    </row>
    <row r="67" spans="1:72" s="56" customFormat="1" x14ac:dyDescent="0.2">
      <c r="A67" s="34" t="s">
        <v>147</v>
      </c>
      <c r="B67" s="34" t="s">
        <v>59</v>
      </c>
      <c r="C67" s="35"/>
      <c r="D67" s="35"/>
      <c r="E67" s="36"/>
      <c r="F67" s="36">
        <v>3.0034924330616994</v>
      </c>
      <c r="G67" s="36">
        <v>1.5673981191223905E-2</v>
      </c>
      <c r="H67" s="36">
        <v>-0.95238095238095144</v>
      </c>
      <c r="I67" s="36">
        <v>-4.6728971962617077E-2</v>
      </c>
      <c r="J67" s="36">
        <v>0.95709570957095658</v>
      </c>
      <c r="K67" s="36">
        <v>-0.77546296296296324</v>
      </c>
      <c r="L67" s="36">
        <v>1.5270935960591139</v>
      </c>
      <c r="M67" s="36">
        <v>-0.71748878923766801</v>
      </c>
      <c r="N67" s="36">
        <v>3.5</v>
      </c>
      <c r="O67" s="36"/>
      <c r="AS67" s="59"/>
      <c r="AT67" s="59"/>
      <c r="AV67" s="59"/>
      <c r="AW67" s="59"/>
      <c r="BB67" s="57"/>
      <c r="BQ67" s="58"/>
      <c r="BR67" s="58"/>
      <c r="BS67" s="57"/>
      <c r="BT67" s="17"/>
    </row>
    <row r="68" spans="1:72" s="56" customFormat="1" x14ac:dyDescent="0.2">
      <c r="A68" s="34" t="s">
        <v>148</v>
      </c>
      <c r="B68" s="34" t="s">
        <v>60</v>
      </c>
      <c r="C68" s="35"/>
      <c r="D68" s="35"/>
      <c r="E68" s="36"/>
      <c r="F68" s="36">
        <v>1.4784633294528524</v>
      </c>
      <c r="G68" s="36">
        <v>0.45454545454545536</v>
      </c>
      <c r="H68" s="36">
        <v>3.8095238095238106</v>
      </c>
      <c r="I68" s="36">
        <v>-5</v>
      </c>
      <c r="J68" s="36">
        <v>1.3641364136413638</v>
      </c>
      <c r="K68" s="36">
        <v>-1.1689814814814807</v>
      </c>
      <c r="L68" s="36">
        <v>0.44334975369458057</v>
      </c>
      <c r="M68" s="36">
        <v>-2.2085201793721967</v>
      </c>
      <c r="N68" s="36">
        <v>3.5</v>
      </c>
      <c r="O68" s="36"/>
      <c r="AS68" s="59"/>
      <c r="AT68" s="59"/>
      <c r="AV68" s="59"/>
      <c r="AW68" s="59"/>
      <c r="BB68" s="57"/>
      <c r="BQ68" s="58"/>
      <c r="BR68" s="58"/>
      <c r="BS68" s="57"/>
      <c r="BT68" s="17"/>
    </row>
    <row r="69" spans="1:72" s="56" customFormat="1" x14ac:dyDescent="0.2">
      <c r="A69" s="34" t="s">
        <v>149</v>
      </c>
      <c r="B69" s="34" t="s">
        <v>61</v>
      </c>
      <c r="C69" s="35"/>
      <c r="D69" s="35"/>
      <c r="E69" s="36"/>
      <c r="F69" s="36">
        <v>-2.8754365541327109</v>
      </c>
      <c r="G69" s="36">
        <v>-2.0689655172413772</v>
      </c>
      <c r="H69" s="36">
        <v>-0.27210884353741399</v>
      </c>
      <c r="I69" s="36">
        <v>-4.9299065420560755</v>
      </c>
      <c r="J69" s="36">
        <v>-3.8393839383938393</v>
      </c>
      <c r="K69" s="36">
        <v>-4.2592592592592586</v>
      </c>
      <c r="L69" s="36">
        <v>-2.783251231527093</v>
      </c>
      <c r="M69" s="36">
        <v>-1.3116591928251116</v>
      </c>
      <c r="N69" s="36">
        <v>-4.7</v>
      </c>
      <c r="O69" s="36"/>
      <c r="AS69" s="59"/>
      <c r="AT69" s="59"/>
      <c r="AV69" s="59"/>
      <c r="AW69" s="59"/>
      <c r="BB69" s="57"/>
      <c r="BQ69" s="58"/>
      <c r="BR69" s="58"/>
      <c r="BS69" s="57"/>
      <c r="BT69" s="17"/>
    </row>
    <row r="70" spans="1:72" s="56" customFormat="1" x14ac:dyDescent="0.2">
      <c r="A70" s="34" t="s">
        <v>150</v>
      </c>
      <c r="B70" s="34" t="s">
        <v>62</v>
      </c>
      <c r="C70" s="35"/>
      <c r="D70" s="35"/>
      <c r="E70" s="36"/>
      <c r="F70" s="36">
        <v>3.3760186263096621</v>
      </c>
      <c r="G70" s="36">
        <v>5</v>
      </c>
      <c r="H70" s="36">
        <v>-4.0136054421768703</v>
      </c>
      <c r="I70" s="36">
        <v>0.72429906542056066</v>
      </c>
      <c r="J70" s="36">
        <v>4.1584158415841586</v>
      </c>
      <c r="K70" s="36">
        <v>5</v>
      </c>
      <c r="L70" s="36">
        <v>1.0098522167487705</v>
      </c>
      <c r="M70" s="36">
        <v>3.9686098654708526</v>
      </c>
      <c r="N70" s="36">
        <v>-2.5000000000000004</v>
      </c>
      <c r="O70" s="36"/>
      <c r="AS70" s="59"/>
      <c r="AT70" s="59"/>
      <c r="AV70" s="59"/>
      <c r="AW70" s="59"/>
      <c r="BB70" s="57"/>
      <c r="BQ70" s="58"/>
      <c r="BR70" s="58"/>
      <c r="BS70" s="57"/>
      <c r="BT70" s="17"/>
    </row>
    <row r="71" spans="1:72" s="56" customFormat="1" x14ac:dyDescent="0.2">
      <c r="A71" s="34" t="s">
        <v>151</v>
      </c>
      <c r="B71" s="34" t="s">
        <v>63</v>
      </c>
      <c r="C71" s="35"/>
      <c r="D71" s="35"/>
      <c r="E71" s="36"/>
      <c r="F71" s="36">
        <v>0.81490104772991845</v>
      </c>
      <c r="G71" s="36">
        <v>-0.83072100313479569</v>
      </c>
      <c r="H71" s="36">
        <v>0.95238095238095388</v>
      </c>
      <c r="I71" s="36">
        <v>1.2149532710280373</v>
      </c>
      <c r="J71" s="36">
        <v>-1.6611661166116611</v>
      </c>
      <c r="K71" s="36">
        <v>-1.8055555555555547</v>
      </c>
      <c r="L71" s="36">
        <v>-1.7487684729064026</v>
      </c>
      <c r="M71" s="36">
        <v>-1.5022421524663676</v>
      </c>
      <c r="N71" s="36">
        <v>-0.53571428571428581</v>
      </c>
      <c r="O71" s="36"/>
      <c r="AS71" s="59"/>
      <c r="AT71" s="59"/>
      <c r="AV71" s="59"/>
      <c r="AW71" s="59"/>
      <c r="BB71" s="57"/>
      <c r="BQ71" s="58"/>
      <c r="BR71" s="58"/>
      <c r="BS71" s="57"/>
      <c r="BT71" s="17"/>
    </row>
    <row r="72" spans="1:72" s="56" customFormat="1" x14ac:dyDescent="0.2">
      <c r="A72" s="34" t="s">
        <v>152</v>
      </c>
      <c r="B72" s="34" t="s">
        <v>64</v>
      </c>
      <c r="C72" s="35"/>
      <c r="D72" s="35"/>
      <c r="E72" s="36"/>
      <c r="F72" s="36">
        <v>0.43073341094295725</v>
      </c>
      <c r="G72" s="36">
        <v>-0.10971786833855619</v>
      </c>
      <c r="H72" s="36">
        <v>0.68027210884353739</v>
      </c>
      <c r="I72" s="36">
        <v>-0.30373831775700955</v>
      </c>
      <c r="J72" s="36">
        <v>-2.4422442244224416</v>
      </c>
      <c r="K72" s="36">
        <v>-2.6388888888888884</v>
      </c>
      <c r="L72" s="36">
        <v>5</v>
      </c>
      <c r="M72" s="36">
        <v>-1.3565022421524657</v>
      </c>
      <c r="N72" s="36">
        <v>-4.5</v>
      </c>
      <c r="O72" s="36"/>
      <c r="AS72" s="59"/>
      <c r="AT72" s="59"/>
      <c r="AV72" s="59"/>
      <c r="AW72" s="59"/>
      <c r="BB72" s="57"/>
      <c r="BQ72" s="58"/>
      <c r="BR72" s="58"/>
      <c r="BS72" s="57"/>
      <c r="BT72" s="17"/>
    </row>
    <row r="73" spans="1:72" s="56" customFormat="1" x14ac:dyDescent="0.2">
      <c r="A73" s="34" t="s">
        <v>153</v>
      </c>
      <c r="B73" s="34" t="s">
        <v>65</v>
      </c>
      <c r="C73" s="35"/>
      <c r="D73" s="35"/>
      <c r="E73" s="36"/>
      <c r="F73" s="36">
        <v>-3.8766006984866133</v>
      </c>
      <c r="G73" s="36">
        <v>-3.1034482758620681</v>
      </c>
      <c r="H73" s="36">
        <v>4.2857142857142865</v>
      </c>
      <c r="I73" s="36">
        <v>0.46728971962616828</v>
      </c>
      <c r="J73" s="36">
        <v>-2.7832783278327837</v>
      </c>
      <c r="K73" s="36">
        <v>-3.2407407407407405</v>
      </c>
      <c r="L73" s="36">
        <v>-4.8</v>
      </c>
      <c r="M73" s="36">
        <v>-4.103139013452914</v>
      </c>
      <c r="N73" s="36">
        <v>-4.0999999999999996</v>
      </c>
      <c r="O73" s="36"/>
      <c r="AS73" s="59"/>
      <c r="AT73" s="59"/>
      <c r="AV73" s="59"/>
      <c r="AW73" s="59"/>
      <c r="BB73" s="57"/>
      <c r="BQ73" s="58"/>
      <c r="BR73" s="58"/>
      <c r="BS73" s="57"/>
      <c r="BT73" s="17"/>
    </row>
    <row r="74" spans="1:72" s="56" customFormat="1" x14ac:dyDescent="0.2">
      <c r="A74" s="34" t="s">
        <v>154</v>
      </c>
      <c r="B74" s="34" t="s">
        <v>66</v>
      </c>
      <c r="C74" s="35"/>
      <c r="D74" s="35"/>
      <c r="E74" s="36"/>
      <c r="F74" s="36">
        <v>-4.7497089639115257</v>
      </c>
      <c r="G74" s="36">
        <v>-2.210031347962381</v>
      </c>
      <c r="H74" s="36">
        <v>2.7891156462585047</v>
      </c>
      <c r="I74" s="36">
        <v>-2.1728971962616823</v>
      </c>
      <c r="J74" s="36">
        <v>-3.0913091309130909</v>
      </c>
      <c r="K74" s="36">
        <v>-2.5231481481481475</v>
      </c>
      <c r="L74" s="36">
        <v>0.29556650246305488</v>
      </c>
      <c r="M74" s="36">
        <v>5</v>
      </c>
      <c r="N74" s="36">
        <v>3.5</v>
      </c>
      <c r="O74" s="36"/>
      <c r="AS74" s="59"/>
      <c r="AT74" s="59"/>
      <c r="AV74" s="59"/>
      <c r="AW74" s="59"/>
      <c r="BB74" s="57"/>
      <c r="BQ74" s="58"/>
      <c r="BR74" s="58"/>
      <c r="BS74" s="57"/>
      <c r="BT74" s="17"/>
    </row>
    <row r="75" spans="1:72" s="56" customFormat="1" x14ac:dyDescent="0.2">
      <c r="A75" s="34" t="s">
        <v>155</v>
      </c>
      <c r="B75" s="34" t="s">
        <v>67</v>
      </c>
      <c r="C75" s="35"/>
      <c r="D75" s="35"/>
      <c r="E75" s="36"/>
      <c r="F75" s="36">
        <v>3.3061699650756697</v>
      </c>
      <c r="G75" s="36">
        <v>-2.3510971786833852</v>
      </c>
      <c r="H75" s="36">
        <v>1.2925170068027225</v>
      </c>
      <c r="I75" s="36">
        <v>1.1682242990654206</v>
      </c>
      <c r="J75" s="36">
        <v>-0.15401540154015386</v>
      </c>
      <c r="K75" s="36">
        <v>-1.4004629629629621</v>
      </c>
      <c r="L75" s="36">
        <v>-1.182266009852216</v>
      </c>
      <c r="M75" s="36">
        <v>-1.098654708520179</v>
      </c>
      <c r="N75" s="36">
        <v>-2.3214285714285716</v>
      </c>
      <c r="O75" s="36"/>
      <c r="AS75" s="59"/>
      <c r="AT75" s="59"/>
      <c r="AV75" s="59"/>
      <c r="AW75" s="59"/>
      <c r="BB75" s="57"/>
      <c r="BQ75" s="58"/>
      <c r="BR75" s="58"/>
      <c r="BS75" s="57"/>
      <c r="BT75" s="17"/>
    </row>
    <row r="76" spans="1:72" s="56" customFormat="1" x14ac:dyDescent="0.2">
      <c r="A76" s="34" t="s">
        <v>156</v>
      </c>
      <c r="B76" s="34" t="s">
        <v>68</v>
      </c>
      <c r="C76" s="35"/>
      <c r="D76" s="35"/>
      <c r="E76" s="36"/>
      <c r="F76" s="36">
        <v>-1.2339930151338758</v>
      </c>
      <c r="G76" s="36">
        <v>-2.1473354231974899</v>
      </c>
      <c r="H76" s="36">
        <v>0.40816326530612346</v>
      </c>
      <c r="I76" s="36">
        <v>-2.1728971962616823</v>
      </c>
      <c r="J76" s="36">
        <v>-5</v>
      </c>
      <c r="K76" s="36">
        <v>-4.2592592592592586</v>
      </c>
      <c r="L76" s="36">
        <v>-0.14778325123152569</v>
      </c>
      <c r="M76" s="36">
        <v>-4.428251121076233</v>
      </c>
      <c r="N76" s="36">
        <v>3.5</v>
      </c>
      <c r="O76" s="36"/>
      <c r="AS76" s="59"/>
      <c r="AT76" s="59"/>
      <c r="AV76" s="59"/>
      <c r="AW76" s="59"/>
      <c r="BB76" s="57"/>
      <c r="BQ76" s="58"/>
      <c r="BR76" s="58"/>
      <c r="BS76" s="57"/>
      <c r="BT76" s="17"/>
    </row>
    <row r="77" spans="1:72" s="56" customFormat="1" x14ac:dyDescent="0.2">
      <c r="A77" s="34" t="s">
        <v>157</v>
      </c>
      <c r="B77" s="34" t="s">
        <v>69</v>
      </c>
      <c r="C77" s="35"/>
      <c r="D77" s="35"/>
      <c r="E77" s="36"/>
      <c r="F77" s="36">
        <v>-4.9000000000000004</v>
      </c>
      <c r="G77" s="36">
        <v>-0.87774294670846287</v>
      </c>
      <c r="H77" s="36">
        <v>2.9931972789115662</v>
      </c>
      <c r="I77" s="36">
        <v>-1.2850467289719627</v>
      </c>
      <c r="J77" s="36">
        <v>-2.2772277227722766</v>
      </c>
      <c r="K77" s="36">
        <v>-3.5532407407407405</v>
      </c>
      <c r="L77" s="36">
        <v>-3.9162561576354658</v>
      </c>
      <c r="M77" s="36">
        <v>-3.1502242152466366</v>
      </c>
      <c r="N77" s="36">
        <v>-3.9285714285714288</v>
      </c>
      <c r="O77" s="36"/>
      <c r="AS77" s="59"/>
      <c r="AT77" s="59"/>
      <c r="AV77" s="59"/>
      <c r="AW77" s="59"/>
      <c r="BB77" s="57"/>
      <c r="BQ77" s="58"/>
      <c r="BR77" s="58"/>
      <c r="BS77" s="57"/>
      <c r="BT77" s="17"/>
    </row>
    <row r="78" spans="1:72" s="56" customFormat="1" x14ac:dyDescent="0.2">
      <c r="A78" s="34" t="s">
        <v>158</v>
      </c>
      <c r="B78" s="34" t="s">
        <v>70</v>
      </c>
      <c r="C78" s="35"/>
      <c r="D78" s="35"/>
      <c r="E78" s="36"/>
      <c r="F78" s="36">
        <v>-4.842840512223515</v>
      </c>
      <c r="G78" s="36">
        <v>-3.0250783699059549</v>
      </c>
      <c r="H78" s="36">
        <v>4.1496598639455797</v>
      </c>
      <c r="I78" s="36">
        <v>-2.897196261682244</v>
      </c>
      <c r="J78" s="36">
        <v>-3.3003300330033007</v>
      </c>
      <c r="K78" s="36">
        <v>0.19675925925925958</v>
      </c>
      <c r="L78" s="36">
        <v>-1.5517241379310338</v>
      </c>
      <c r="M78" s="36">
        <v>-1.098654708520179</v>
      </c>
      <c r="N78" s="36">
        <v>3.5</v>
      </c>
      <c r="O78" s="36"/>
      <c r="AS78" s="59"/>
      <c r="AT78" s="59"/>
      <c r="AV78" s="59"/>
      <c r="AW78" s="59"/>
      <c r="BB78" s="57"/>
      <c r="BQ78" s="58"/>
      <c r="BR78" s="58"/>
      <c r="BS78" s="57"/>
      <c r="BT78" s="17"/>
    </row>
    <row r="79" spans="1:72" s="56" customFormat="1" x14ac:dyDescent="0.2">
      <c r="A79" s="34" t="s">
        <v>137</v>
      </c>
      <c r="B79" s="34" t="s">
        <v>11</v>
      </c>
      <c r="C79" s="35"/>
      <c r="D79" s="35"/>
      <c r="E79" s="36"/>
      <c r="F79" s="36">
        <v>3.2013969732246799</v>
      </c>
      <c r="G79" s="36">
        <v>2.9937304075235116</v>
      </c>
      <c r="H79" s="36">
        <v>-2.4489795918367334</v>
      </c>
      <c r="I79" s="36">
        <v>7.0093457943924992E-2</v>
      </c>
      <c r="J79" s="36">
        <v>1.2981298129812986</v>
      </c>
      <c r="K79" s="36">
        <v>2.0023148148148153</v>
      </c>
      <c r="L79" s="36">
        <v>-0.36945812807881773</v>
      </c>
      <c r="M79" s="36">
        <v>2.0291479820627814</v>
      </c>
      <c r="N79" s="36">
        <v>3.5</v>
      </c>
      <c r="O79" s="36"/>
      <c r="AS79" s="59"/>
      <c r="AT79" s="59"/>
      <c r="AV79" s="59"/>
      <c r="AW79" s="59"/>
      <c r="BB79" s="57"/>
      <c r="BQ79" s="58"/>
      <c r="BR79" s="58"/>
      <c r="BS79" s="57"/>
      <c r="BT79" s="17"/>
    </row>
    <row r="80" spans="1:72" s="56" customFormat="1" x14ac:dyDescent="0.2">
      <c r="A80" s="34" t="s">
        <v>249</v>
      </c>
      <c r="B80" s="34" t="s">
        <v>71</v>
      </c>
      <c r="C80" s="35"/>
      <c r="D80" s="35"/>
      <c r="E80" s="36"/>
      <c r="F80" s="36">
        <v>0.45401629802095522</v>
      </c>
      <c r="G80" s="36">
        <v>-2.6332288401253909</v>
      </c>
      <c r="H80" s="36">
        <v>2.9251700680272115</v>
      </c>
      <c r="I80" s="36">
        <v>2.0327102803738319</v>
      </c>
      <c r="J80" s="36">
        <v>0.14301430143014268</v>
      </c>
      <c r="K80" s="36">
        <v>-0.60185185185185219</v>
      </c>
      <c r="L80" s="36">
        <v>1.354679802955665</v>
      </c>
      <c r="M80" s="36">
        <v>0.67264573991031384</v>
      </c>
      <c r="N80" s="36">
        <v>-0.71428571428571463</v>
      </c>
      <c r="O80" s="36"/>
      <c r="AS80" s="59"/>
      <c r="AT80" s="59"/>
      <c r="AV80" s="59"/>
      <c r="AW80" s="59"/>
      <c r="BB80" s="57"/>
      <c r="BQ80" s="58"/>
      <c r="BR80" s="58"/>
      <c r="BS80" s="57"/>
      <c r="BT80" s="17"/>
    </row>
    <row r="81" spans="1:72" s="56" customFormat="1" x14ac:dyDescent="0.2">
      <c r="A81" s="34" t="s">
        <v>159</v>
      </c>
      <c r="B81" s="34" t="s">
        <v>72</v>
      </c>
      <c r="C81" s="35"/>
      <c r="D81" s="35"/>
      <c r="E81" s="36"/>
      <c r="F81" s="36">
        <v>1.2223515715948776</v>
      </c>
      <c r="G81" s="36">
        <v>1.0658307210031364</v>
      </c>
      <c r="H81" s="36">
        <v>-1.3605442176870748</v>
      </c>
      <c r="I81" s="36">
        <v>1.0981308411214952</v>
      </c>
      <c r="J81" s="36">
        <v>2.0462046204620461</v>
      </c>
      <c r="K81" s="36">
        <v>8.1018518518518837E-2</v>
      </c>
      <c r="L81" s="36">
        <v>-0.36945812807881773</v>
      </c>
      <c r="M81" s="36">
        <v>-0.93049327354260059</v>
      </c>
      <c r="N81" s="36">
        <v>3.5</v>
      </c>
      <c r="O81" s="36"/>
      <c r="AS81" s="59"/>
      <c r="AT81" s="59"/>
      <c r="AV81" s="59"/>
      <c r="AW81" s="59"/>
      <c r="BB81" s="57"/>
      <c r="BQ81" s="58"/>
      <c r="BR81" s="58"/>
      <c r="BS81" s="57"/>
      <c r="BT81" s="17"/>
    </row>
    <row r="82" spans="1:72" s="56" customFormat="1" x14ac:dyDescent="0.2">
      <c r="A82" s="34" t="s">
        <v>160</v>
      </c>
      <c r="B82" s="34" t="s">
        <v>73</v>
      </c>
      <c r="C82" s="35"/>
      <c r="D82" s="35"/>
      <c r="E82" s="36"/>
      <c r="F82" s="36">
        <v>0.50058207217694961</v>
      </c>
      <c r="G82" s="36">
        <v>-1.8965517241379297</v>
      </c>
      <c r="H82" s="36">
        <v>4.1496598639455797</v>
      </c>
      <c r="I82" s="36">
        <v>-4.6962616822429908</v>
      </c>
      <c r="J82" s="36">
        <v>-2.4532453245324537</v>
      </c>
      <c r="K82" s="36">
        <v>-3.3680555555555545</v>
      </c>
      <c r="L82" s="36">
        <v>-4.5320197044334956</v>
      </c>
      <c r="M82" s="36">
        <v>-3.9013452914798203</v>
      </c>
      <c r="N82" s="36">
        <v>3.5</v>
      </c>
      <c r="O82" s="36"/>
      <c r="AS82" s="59"/>
      <c r="AT82" s="59"/>
      <c r="AV82" s="59"/>
      <c r="AW82" s="59"/>
      <c r="BB82" s="57"/>
      <c r="BQ82" s="58"/>
      <c r="BR82" s="58"/>
      <c r="BS82" s="57"/>
      <c r="BT82" s="17"/>
    </row>
    <row r="83" spans="1:72" s="56" customFormat="1" x14ac:dyDescent="0.2">
      <c r="A83" s="34" t="s">
        <v>161</v>
      </c>
      <c r="B83" s="34" t="s">
        <v>74</v>
      </c>
      <c r="C83" s="35"/>
      <c r="D83" s="35"/>
      <c r="E83" s="36"/>
      <c r="F83" s="36">
        <v>3.3527357392316643</v>
      </c>
      <c r="G83" s="36">
        <v>-0.2821316614420058</v>
      </c>
      <c r="H83" s="36">
        <v>0</v>
      </c>
      <c r="I83" s="36">
        <v>0.44392523364485953</v>
      </c>
      <c r="J83" s="36">
        <v>-0.12101210121012117</v>
      </c>
      <c r="K83" s="36">
        <v>-0.99537037037036968</v>
      </c>
      <c r="L83" s="36">
        <v>-1.2561576354679789</v>
      </c>
      <c r="M83" s="36">
        <v>-0.39237668161434974</v>
      </c>
      <c r="N83" s="36">
        <v>0</v>
      </c>
      <c r="O83" s="36"/>
      <c r="AS83" s="59"/>
      <c r="AT83" s="59"/>
      <c r="AV83" s="59"/>
      <c r="AW83" s="59"/>
      <c r="BB83" s="57"/>
      <c r="BQ83" s="58"/>
      <c r="BR83" s="58"/>
      <c r="BS83" s="57"/>
      <c r="BT83" s="17"/>
    </row>
    <row r="84" spans="1:72" s="56" customFormat="1" x14ac:dyDescent="0.2">
      <c r="A84" s="34" t="s">
        <v>162</v>
      </c>
      <c r="B84" s="34" t="s">
        <v>75</v>
      </c>
      <c r="C84" s="35"/>
      <c r="D84" s="35"/>
      <c r="E84" s="36"/>
      <c r="F84" s="36">
        <v>-4.6682188591385323</v>
      </c>
      <c r="G84" s="36">
        <v>-0.12539184952978011</v>
      </c>
      <c r="H84" s="36">
        <v>2.8571428571428594</v>
      </c>
      <c r="I84" s="36">
        <v>-1.2616822429906547</v>
      </c>
      <c r="J84" s="36">
        <v>-3.7073707370737066</v>
      </c>
      <c r="K84" s="36">
        <v>-3.5069444444444442</v>
      </c>
      <c r="L84" s="36">
        <v>1.4285714285714277</v>
      </c>
      <c r="M84" s="36">
        <v>-0.90807174887892306</v>
      </c>
      <c r="N84" s="36">
        <v>3.5</v>
      </c>
      <c r="O84" s="36"/>
      <c r="AS84" s="59"/>
      <c r="AT84" s="59"/>
      <c r="AV84" s="59"/>
      <c r="AW84" s="59"/>
      <c r="BB84" s="57"/>
      <c r="BQ84" s="58"/>
      <c r="BR84" s="58"/>
      <c r="BS84" s="57"/>
      <c r="BT84" s="17"/>
    </row>
    <row r="85" spans="1:72" s="56" customFormat="1" x14ac:dyDescent="0.2">
      <c r="A85" s="34" t="s">
        <v>163</v>
      </c>
      <c r="B85" s="34" t="s">
        <v>76</v>
      </c>
      <c r="C85" s="35"/>
      <c r="D85" s="35"/>
      <c r="E85" s="36"/>
      <c r="F85" s="36">
        <v>-1.0128055878928974</v>
      </c>
      <c r="G85" s="36">
        <v>-2.2257053291536026</v>
      </c>
      <c r="H85" s="36">
        <v>2.7891156462585047</v>
      </c>
      <c r="I85" s="36">
        <v>-0.42056074766355162</v>
      </c>
      <c r="J85" s="36">
        <v>-1.3091309130913089</v>
      </c>
      <c r="K85" s="36">
        <v>-2.8935185185185182</v>
      </c>
      <c r="L85" s="36">
        <v>-1.8226600985221653</v>
      </c>
      <c r="M85" s="36">
        <v>-1.4461883408071747</v>
      </c>
      <c r="N85" s="36">
        <v>3.5</v>
      </c>
      <c r="O85" s="36"/>
      <c r="AS85" s="59"/>
      <c r="AT85" s="59"/>
      <c r="AV85" s="59"/>
      <c r="AW85" s="59"/>
      <c r="BB85" s="57"/>
      <c r="BQ85" s="58"/>
      <c r="BR85" s="58"/>
      <c r="BS85" s="57"/>
      <c r="BT85" s="17"/>
    </row>
    <row r="86" spans="1:72" s="56" customFormat="1" x14ac:dyDescent="0.2">
      <c r="A86" s="34" t="s">
        <v>164</v>
      </c>
      <c r="B86" s="34" t="s">
        <v>77</v>
      </c>
      <c r="C86" s="35"/>
      <c r="D86" s="35"/>
      <c r="E86" s="36"/>
      <c r="F86" s="36">
        <v>-4.6915017462165318</v>
      </c>
      <c r="G86" s="36">
        <v>-2.3354231974921613</v>
      </c>
      <c r="H86" s="36">
        <v>2.7891156462585047</v>
      </c>
      <c r="I86" s="36">
        <v>1.3084112149532712</v>
      </c>
      <c r="J86" s="36">
        <v>-0.89108910891089121</v>
      </c>
      <c r="K86" s="36">
        <v>-1.944444444444444</v>
      </c>
      <c r="L86" s="36">
        <v>1.4778325123152709</v>
      </c>
      <c r="M86" s="36">
        <v>-1.6143497757847534</v>
      </c>
      <c r="N86" s="36">
        <v>3.5</v>
      </c>
      <c r="O86" s="36"/>
      <c r="AS86" s="59"/>
      <c r="AT86" s="59"/>
      <c r="AV86" s="59"/>
      <c r="AW86" s="59"/>
      <c r="BB86" s="57"/>
      <c r="BQ86" s="58"/>
      <c r="BR86" s="58"/>
      <c r="BS86" s="57"/>
      <c r="BT86" s="17"/>
    </row>
    <row r="87" spans="1:72" s="56" customFormat="1" x14ac:dyDescent="0.2">
      <c r="A87" s="34" t="s">
        <v>165</v>
      </c>
      <c r="B87" s="34" t="s">
        <v>78</v>
      </c>
      <c r="C87" s="35"/>
      <c r="D87" s="35"/>
      <c r="E87" s="36"/>
      <c r="F87" s="36">
        <v>-6.9848661233992346E-2</v>
      </c>
      <c r="G87" s="36">
        <v>-3.5736677115987452</v>
      </c>
      <c r="H87" s="36">
        <v>5</v>
      </c>
      <c r="I87" s="36">
        <v>0.60747663551401865</v>
      </c>
      <c r="J87" s="36">
        <v>-2.6622662266226613</v>
      </c>
      <c r="K87" s="36">
        <v>-3.3217592592592591</v>
      </c>
      <c r="L87" s="36">
        <v>-1.8965517241379317</v>
      </c>
      <c r="M87" s="36">
        <v>-1.9843049327354254</v>
      </c>
      <c r="N87" s="36">
        <v>3.5</v>
      </c>
      <c r="O87" s="36"/>
      <c r="AS87" s="59"/>
      <c r="AT87" s="59"/>
      <c r="AV87" s="59"/>
      <c r="AW87" s="59"/>
      <c r="BB87" s="57"/>
      <c r="BQ87" s="58"/>
      <c r="BR87" s="58"/>
      <c r="BS87" s="57"/>
      <c r="BT87" s="17"/>
    </row>
    <row r="88" spans="1:72" s="56" customFormat="1" x14ac:dyDescent="0.2">
      <c r="A88" s="34" t="s">
        <v>166</v>
      </c>
      <c r="B88" s="34" t="s">
        <v>79</v>
      </c>
      <c r="C88" s="35"/>
      <c r="D88" s="35"/>
      <c r="E88" s="36"/>
      <c r="F88" s="36">
        <v>-2.7473806752037242</v>
      </c>
      <c r="G88" s="36">
        <v>-3.636363636363634</v>
      </c>
      <c r="H88" s="36">
        <v>3.1292517006802734</v>
      </c>
      <c r="I88" s="36">
        <v>-7.0093457943925408E-2</v>
      </c>
      <c r="J88" s="36">
        <v>-3.4323432343234317</v>
      </c>
      <c r="K88" s="36">
        <v>-3.9467592592592582</v>
      </c>
      <c r="L88" s="36">
        <v>-1.5517241379310338</v>
      </c>
      <c r="M88" s="36">
        <v>-3.2286995515695067</v>
      </c>
      <c r="N88" s="36">
        <v>3.5</v>
      </c>
      <c r="O88" s="36"/>
      <c r="AS88" s="59"/>
      <c r="AT88" s="59"/>
      <c r="AV88" s="59"/>
      <c r="AW88" s="59"/>
      <c r="BB88" s="57"/>
      <c r="BQ88" s="58"/>
      <c r="BR88" s="58"/>
      <c r="BS88" s="57"/>
      <c r="BT88" s="17"/>
    </row>
    <row r="89" spans="1:72" s="56" customFormat="1" x14ac:dyDescent="0.2">
      <c r="A89" s="34" t="s">
        <v>167</v>
      </c>
      <c r="B89" s="34" t="s">
        <v>80</v>
      </c>
      <c r="C89" s="35"/>
      <c r="D89" s="35"/>
      <c r="E89" s="36"/>
      <c r="F89" s="36">
        <v>-1.5483119906868463</v>
      </c>
      <c r="G89" s="36">
        <v>1.0971786833855797</v>
      </c>
      <c r="H89" s="36">
        <v>2.7891156462585047</v>
      </c>
      <c r="I89" s="36">
        <v>-9.3457943925233739E-2</v>
      </c>
      <c r="J89" s="36">
        <v>-0.62706270627062732</v>
      </c>
      <c r="K89" s="36">
        <v>-0.60185185185185219</v>
      </c>
      <c r="L89" s="36">
        <v>5</v>
      </c>
      <c r="M89" s="36">
        <v>-1.4125560538116586</v>
      </c>
      <c r="N89" s="36">
        <v>-3.9285714285714288</v>
      </c>
      <c r="O89" s="36"/>
      <c r="AS89" s="59"/>
      <c r="AT89" s="59"/>
      <c r="AV89" s="59"/>
      <c r="AW89" s="59"/>
      <c r="BB89" s="57"/>
      <c r="BQ89" s="58"/>
      <c r="BR89" s="58"/>
      <c r="BS89" s="57"/>
      <c r="BT89" s="17"/>
    </row>
    <row r="90" spans="1:72" s="56" customFormat="1" x14ac:dyDescent="0.2">
      <c r="A90" s="34" t="s">
        <v>168</v>
      </c>
      <c r="B90" s="34" t="s">
        <v>81</v>
      </c>
      <c r="C90" s="35"/>
      <c r="D90" s="35"/>
      <c r="E90" s="36"/>
      <c r="F90" s="36">
        <v>-3.1199068684516891</v>
      </c>
      <c r="G90" s="36">
        <v>-2.241379310344827</v>
      </c>
      <c r="H90" s="36">
        <v>2.8571428571428594</v>
      </c>
      <c r="I90" s="36">
        <v>-4.0654205607476648</v>
      </c>
      <c r="J90" s="36">
        <v>-2.3872387238723864</v>
      </c>
      <c r="K90" s="36">
        <v>-2.6041666666666665</v>
      </c>
      <c r="L90" s="36">
        <v>-2.4630541871919782E-2</v>
      </c>
      <c r="M90" s="36">
        <v>-2.2982062780269059</v>
      </c>
      <c r="N90" s="36">
        <v>-4.3</v>
      </c>
      <c r="O90" s="36"/>
      <c r="AS90" s="59"/>
      <c r="AT90" s="59"/>
      <c r="AV90" s="59"/>
      <c r="AW90" s="59"/>
      <c r="BB90" s="57"/>
      <c r="BQ90" s="58"/>
      <c r="BR90" s="58"/>
      <c r="BS90" s="57"/>
      <c r="BT90" s="17"/>
    </row>
    <row r="91" spans="1:72" s="56" customFormat="1" x14ac:dyDescent="0.2">
      <c r="A91" s="34" t="s">
        <v>169</v>
      </c>
      <c r="B91" s="34" t="s">
        <v>82</v>
      </c>
      <c r="C91" s="35"/>
      <c r="D91" s="35"/>
      <c r="E91" s="36"/>
      <c r="F91" s="36">
        <v>-1.6181606519208387</v>
      </c>
      <c r="G91" s="36">
        <v>-2.4451410658307196</v>
      </c>
      <c r="H91" s="36">
        <v>1.3605442176870748</v>
      </c>
      <c r="I91" s="36">
        <v>-1.6588785046728975</v>
      </c>
      <c r="J91" s="36">
        <v>1.2761276127612762</v>
      </c>
      <c r="K91" s="36">
        <v>-1.8750000000000002</v>
      </c>
      <c r="L91" s="36">
        <v>-1.6995073891625594</v>
      </c>
      <c r="M91" s="36">
        <v>-2.399103139013453</v>
      </c>
      <c r="N91" s="36">
        <v>-3.9285714285714288</v>
      </c>
      <c r="O91" s="36"/>
      <c r="AS91" s="59"/>
      <c r="AT91" s="59"/>
      <c r="AV91" s="59"/>
      <c r="AW91" s="59"/>
      <c r="BB91" s="57"/>
      <c r="BQ91" s="58"/>
      <c r="BR91" s="58"/>
      <c r="BS91" s="57"/>
      <c r="BT91" s="17"/>
    </row>
    <row r="92" spans="1:72" s="56" customFormat="1" x14ac:dyDescent="0.2">
      <c r="A92" s="34" t="s">
        <v>170</v>
      </c>
      <c r="B92" s="34" t="s">
        <v>83</v>
      </c>
      <c r="C92" s="35"/>
      <c r="D92" s="35"/>
      <c r="E92" s="36"/>
      <c r="F92" s="36">
        <v>-2.8754365541327109</v>
      </c>
      <c r="G92" s="36">
        <v>-0.42319749216300756</v>
      </c>
      <c r="H92" s="36">
        <v>3.1292517006802734</v>
      </c>
      <c r="I92" s="36">
        <v>-1.9392523364485983</v>
      </c>
      <c r="J92" s="36">
        <v>-1.441144114411441</v>
      </c>
      <c r="K92" s="36">
        <v>-3.7037037037037033</v>
      </c>
      <c r="L92" s="36">
        <v>1.9211822660098514</v>
      </c>
      <c r="M92" s="36">
        <v>-0.79596412556053742</v>
      </c>
      <c r="N92" s="36">
        <v>3.5</v>
      </c>
      <c r="O92" s="36"/>
      <c r="AS92" s="59"/>
      <c r="AT92" s="59"/>
      <c r="AV92" s="59"/>
      <c r="AW92" s="59"/>
      <c r="BB92" s="57"/>
      <c r="BQ92" s="58"/>
      <c r="BR92" s="58"/>
      <c r="BS92" s="57"/>
      <c r="BT92" s="17"/>
    </row>
    <row r="93" spans="1:72" s="56" customFormat="1" x14ac:dyDescent="0.2">
      <c r="A93" s="34" t="s">
        <v>171</v>
      </c>
      <c r="B93" s="34" t="s">
        <v>84</v>
      </c>
      <c r="C93" s="35"/>
      <c r="D93" s="35"/>
      <c r="E93" s="36"/>
      <c r="F93" s="36">
        <v>-0.93131548311990686</v>
      </c>
      <c r="G93" s="36">
        <v>-1.9749216300940426</v>
      </c>
      <c r="H93" s="36">
        <v>4.4897959183673484</v>
      </c>
      <c r="I93" s="36">
        <v>-4.9000000000000004</v>
      </c>
      <c r="J93" s="36">
        <v>-4.9284928492849289</v>
      </c>
      <c r="K93" s="36">
        <v>-4.2592592592592586</v>
      </c>
      <c r="L93" s="36">
        <v>5</v>
      </c>
      <c r="M93" s="36">
        <v>-3.5426008968609866</v>
      </c>
      <c r="N93" s="36">
        <v>-5</v>
      </c>
      <c r="O93" s="36"/>
      <c r="AS93" s="59"/>
      <c r="AT93" s="59"/>
      <c r="AV93" s="59"/>
      <c r="AW93" s="59"/>
      <c r="BB93" s="57"/>
      <c r="BQ93" s="58"/>
      <c r="BR93" s="58"/>
      <c r="BS93" s="57"/>
      <c r="BT93" s="17"/>
    </row>
    <row r="94" spans="1:72" s="56" customFormat="1" x14ac:dyDescent="0.2">
      <c r="A94" s="34" t="s">
        <v>172</v>
      </c>
      <c r="B94" s="34" t="s">
        <v>85</v>
      </c>
      <c r="C94" s="35"/>
      <c r="D94" s="35"/>
      <c r="E94" s="36"/>
      <c r="F94" s="36">
        <v>3.1781140861466821</v>
      </c>
      <c r="G94" s="36">
        <v>-1.8965517241379297</v>
      </c>
      <c r="H94" s="36">
        <v>0.68027210884353739</v>
      </c>
      <c r="I94" s="36">
        <v>-1.1682242990654206</v>
      </c>
      <c r="J94" s="36">
        <v>-1.1221122112211224</v>
      </c>
      <c r="K94" s="36">
        <v>-0.71759259259259289</v>
      </c>
      <c r="L94" s="36">
        <v>-0.64039408866994929</v>
      </c>
      <c r="M94" s="36">
        <v>-1.2219730941704035</v>
      </c>
      <c r="N94" s="36">
        <v>-1.9642857142857144</v>
      </c>
      <c r="O94" s="36"/>
      <c r="AS94" s="59"/>
      <c r="AT94" s="59"/>
      <c r="AV94" s="59"/>
      <c r="AW94" s="59"/>
      <c r="BB94" s="57"/>
      <c r="BQ94" s="58"/>
      <c r="BR94" s="58"/>
      <c r="BS94" s="57"/>
      <c r="BT94" s="17"/>
    </row>
    <row r="95" spans="1:72" s="56" customFormat="1" x14ac:dyDescent="0.2">
      <c r="A95" s="34" t="s">
        <v>173</v>
      </c>
      <c r="B95" s="34" t="s">
        <v>86</v>
      </c>
      <c r="C95" s="35"/>
      <c r="D95" s="35"/>
      <c r="E95" s="36"/>
      <c r="F95" s="36">
        <v>-2.9336437718277053</v>
      </c>
      <c r="G95" s="36">
        <v>-2.9780564263322877</v>
      </c>
      <c r="H95" s="36">
        <v>4.8</v>
      </c>
      <c r="I95" s="36">
        <v>-2.1728971962616823</v>
      </c>
      <c r="J95" s="36">
        <v>-1.441144114411441</v>
      </c>
      <c r="K95" s="36">
        <v>-0.78703703703703665</v>
      </c>
      <c r="L95" s="36">
        <v>1.6256157635468</v>
      </c>
      <c r="M95" s="36">
        <v>-1.1771300448430493</v>
      </c>
      <c r="N95" s="36">
        <v>3.5</v>
      </c>
      <c r="O95" s="36"/>
      <c r="AS95" s="59"/>
      <c r="AT95" s="59"/>
      <c r="AV95" s="59"/>
      <c r="AW95" s="59"/>
      <c r="BB95" s="57"/>
      <c r="BQ95" s="58"/>
      <c r="BR95" s="58"/>
      <c r="BS95" s="57"/>
      <c r="BT95" s="17"/>
    </row>
    <row r="96" spans="1:72" s="56" customFormat="1" x14ac:dyDescent="0.2">
      <c r="A96" s="34" t="s">
        <v>174</v>
      </c>
      <c r="B96" s="34" t="s">
        <v>87</v>
      </c>
      <c r="C96" s="35"/>
      <c r="D96" s="35"/>
      <c r="E96" s="36"/>
      <c r="F96" s="36">
        <v>-4.3422584400465665</v>
      </c>
      <c r="G96" s="36">
        <v>-4.3103448275862064</v>
      </c>
      <c r="H96" s="36">
        <v>4.4217687074829941</v>
      </c>
      <c r="I96" s="36">
        <v>-1.238317757009346</v>
      </c>
      <c r="J96" s="36">
        <v>-4.0044004400440043</v>
      </c>
      <c r="K96" s="36">
        <v>-3.0092592592592591</v>
      </c>
      <c r="L96" s="36">
        <v>1.9211822660098514</v>
      </c>
      <c r="M96" s="36">
        <v>-4.1591928251121066</v>
      </c>
      <c r="N96" s="36">
        <v>3.5</v>
      </c>
      <c r="O96" s="36"/>
      <c r="AS96" s="59"/>
      <c r="AT96" s="59"/>
      <c r="AV96" s="59"/>
      <c r="AW96" s="59"/>
      <c r="BB96" s="57"/>
      <c r="BQ96" s="58"/>
      <c r="BR96" s="58"/>
      <c r="BS96" s="57"/>
      <c r="BT96" s="17"/>
    </row>
    <row r="97" spans="1:72" s="56" customFormat="1" x14ac:dyDescent="0.2">
      <c r="A97" s="34" t="s">
        <v>175</v>
      </c>
      <c r="B97" s="34" t="s">
        <v>88</v>
      </c>
      <c r="C97" s="35"/>
      <c r="D97" s="35"/>
      <c r="E97" s="36"/>
      <c r="F97" s="36">
        <v>-0.32596041909196871</v>
      </c>
      <c r="G97" s="36">
        <v>-2.7115987460815036</v>
      </c>
      <c r="H97" s="36">
        <v>3.469387755102042</v>
      </c>
      <c r="I97" s="36">
        <v>1.985981308411215</v>
      </c>
      <c r="J97" s="36">
        <v>-2.9042904290429039</v>
      </c>
      <c r="K97" s="36">
        <v>-1.3657407407407403</v>
      </c>
      <c r="L97" s="36">
        <v>-3.2019704433497536</v>
      </c>
      <c r="M97" s="36">
        <v>-1.7488789237668154</v>
      </c>
      <c r="N97" s="36">
        <v>3.5</v>
      </c>
      <c r="O97" s="36"/>
      <c r="AS97" s="59"/>
      <c r="AT97" s="59"/>
      <c r="AV97" s="59"/>
      <c r="AW97" s="59"/>
      <c r="BB97" s="57"/>
      <c r="BQ97" s="58"/>
      <c r="BR97" s="58"/>
      <c r="BS97" s="57"/>
      <c r="BT97" s="17"/>
    </row>
    <row r="98" spans="1:72" s="56" customFormat="1" x14ac:dyDescent="0.2">
      <c r="A98" s="34" t="s">
        <v>176</v>
      </c>
      <c r="B98" s="34" t="s">
        <v>89</v>
      </c>
      <c r="C98" s="35"/>
      <c r="D98" s="35"/>
      <c r="E98" s="36"/>
      <c r="F98" s="36">
        <v>-5</v>
      </c>
      <c r="G98" s="36">
        <v>-1.8338557993730387</v>
      </c>
      <c r="H98" s="36">
        <v>2.108843537414967</v>
      </c>
      <c r="I98" s="36">
        <v>0.70093457943925219</v>
      </c>
      <c r="J98" s="36">
        <v>-1.441144114411441</v>
      </c>
      <c r="K98" s="36">
        <v>-3.1018518518518516</v>
      </c>
      <c r="L98" s="36">
        <v>1.7241379310344827</v>
      </c>
      <c r="M98" s="36">
        <v>4.8</v>
      </c>
      <c r="N98" s="36">
        <v>3.5</v>
      </c>
      <c r="O98" s="36"/>
      <c r="AS98" s="59"/>
      <c r="AT98" s="59"/>
      <c r="AV98" s="59"/>
      <c r="AW98" s="59"/>
      <c r="BB98" s="57"/>
      <c r="BQ98" s="58"/>
      <c r="BR98" s="58"/>
      <c r="BS98" s="57"/>
      <c r="BT98" s="17"/>
    </row>
    <row r="99" spans="1:72" s="56" customFormat="1" x14ac:dyDescent="0.2">
      <c r="A99" s="34" t="s">
        <v>177</v>
      </c>
      <c r="B99" s="34" t="s">
        <v>90</v>
      </c>
      <c r="C99" s="35"/>
      <c r="D99" s="35"/>
      <c r="E99" s="36"/>
      <c r="F99" s="36">
        <v>-3.5157159487776468</v>
      </c>
      <c r="G99" s="36">
        <v>-3.3072100313479611</v>
      </c>
      <c r="H99" s="36">
        <v>0.74829931972789221</v>
      </c>
      <c r="I99" s="36">
        <v>0.37383177570093451</v>
      </c>
      <c r="J99" s="36">
        <v>-2.5962596259625963</v>
      </c>
      <c r="K99" s="36">
        <v>-2.1527777777777768</v>
      </c>
      <c r="L99" s="36">
        <v>-0.32019704433497465</v>
      </c>
      <c r="M99" s="36">
        <v>0.20179372197309464</v>
      </c>
      <c r="N99" s="36">
        <v>-3.7499999999999996</v>
      </c>
      <c r="O99" s="36"/>
      <c r="AS99" s="59"/>
      <c r="AT99" s="59"/>
      <c r="AV99" s="59"/>
      <c r="AW99" s="59"/>
      <c r="BB99" s="57"/>
      <c r="BQ99" s="58"/>
      <c r="BR99" s="58"/>
      <c r="BS99" s="57"/>
      <c r="BT99" s="17"/>
    </row>
    <row r="100" spans="1:72" s="56" customFormat="1" x14ac:dyDescent="0.2">
      <c r="A100" s="34" t="s">
        <v>178</v>
      </c>
      <c r="B100" s="34" t="s">
        <v>91</v>
      </c>
      <c r="C100" s="35"/>
      <c r="D100" s="35"/>
      <c r="E100" s="36"/>
      <c r="F100" s="36">
        <v>2.9569266589057048</v>
      </c>
      <c r="G100" s="36">
        <v>-2.5391849529780544</v>
      </c>
      <c r="H100" s="36">
        <v>0</v>
      </c>
      <c r="I100" s="36">
        <v>0.44392523364485953</v>
      </c>
      <c r="J100" s="36">
        <v>-0.77007700770077003</v>
      </c>
      <c r="K100" s="36">
        <v>-1.7592592592592595</v>
      </c>
      <c r="L100" s="36">
        <v>-2.1674876847290632</v>
      </c>
      <c r="M100" s="36">
        <v>-1.8834080717488786</v>
      </c>
      <c r="N100" s="36">
        <v>3.5</v>
      </c>
      <c r="O100" s="36"/>
      <c r="AS100" s="59"/>
      <c r="AT100" s="59"/>
      <c r="AV100" s="59"/>
      <c r="AW100" s="59"/>
      <c r="BB100" s="57"/>
      <c r="BQ100" s="58"/>
      <c r="BR100" s="58"/>
      <c r="BS100" s="57"/>
      <c r="BT100" s="17"/>
    </row>
    <row r="101" spans="1:72" s="56" customFormat="1" x14ac:dyDescent="0.2">
      <c r="A101" s="34" t="s">
        <v>179</v>
      </c>
      <c r="B101" s="34" t="s">
        <v>92</v>
      </c>
      <c r="C101" s="35"/>
      <c r="D101" s="35"/>
      <c r="E101" s="36"/>
      <c r="F101" s="36">
        <v>3.2013969732246799</v>
      </c>
      <c r="G101" s="36">
        <v>0.611285266457681</v>
      </c>
      <c r="H101" s="36">
        <v>-1.4285714285714273</v>
      </c>
      <c r="I101" s="36">
        <v>0.98130841121495316</v>
      </c>
      <c r="J101" s="36">
        <v>1.2321232123212316</v>
      </c>
      <c r="K101" s="36">
        <v>1.493055555555556</v>
      </c>
      <c r="L101" s="36">
        <v>1.2807881773399021</v>
      </c>
      <c r="M101" s="36">
        <v>0.34753363228699569</v>
      </c>
      <c r="N101" s="36">
        <v>-1.9642857142857144</v>
      </c>
      <c r="O101" s="36"/>
      <c r="AS101" s="59"/>
      <c r="AT101" s="59"/>
      <c r="AV101" s="59"/>
      <c r="AW101" s="59"/>
      <c r="BB101" s="57"/>
      <c r="BQ101" s="58"/>
      <c r="BR101" s="58"/>
      <c r="BS101" s="57"/>
      <c r="BT101" s="17"/>
    </row>
    <row r="102" spans="1:72" s="56" customFormat="1" x14ac:dyDescent="0.2">
      <c r="A102" s="34" t="s">
        <v>180</v>
      </c>
      <c r="B102" s="34" t="s">
        <v>93</v>
      </c>
      <c r="C102" s="35"/>
      <c r="D102" s="35"/>
      <c r="E102" s="36"/>
      <c r="F102" s="36">
        <v>2.7706635622817224</v>
      </c>
      <c r="G102" s="36">
        <v>-0.57993730407523325</v>
      </c>
      <c r="H102" s="36">
        <v>-1.3605442176870748</v>
      </c>
      <c r="I102" s="36">
        <v>-7.0093457943925408E-2</v>
      </c>
      <c r="J102" s="36">
        <v>-1.2431243124312434</v>
      </c>
      <c r="K102" s="36">
        <v>1.354166666666667</v>
      </c>
      <c r="L102" s="36">
        <v>0.32019704433497465</v>
      </c>
      <c r="M102" s="36">
        <v>1.7152466367713002</v>
      </c>
      <c r="N102" s="36">
        <v>3.5</v>
      </c>
      <c r="O102" s="36"/>
      <c r="AS102" s="59"/>
      <c r="AT102" s="59"/>
      <c r="AV102" s="59"/>
      <c r="AW102" s="59"/>
      <c r="BB102" s="57"/>
      <c r="BQ102" s="58"/>
      <c r="BR102" s="58"/>
      <c r="BS102" s="57"/>
      <c r="BT102" s="17"/>
    </row>
    <row r="103" spans="1:72" s="56" customFormat="1" x14ac:dyDescent="0.2">
      <c r="A103" s="34" t="s">
        <v>181</v>
      </c>
      <c r="B103" s="34" t="s">
        <v>94</v>
      </c>
      <c r="C103" s="35"/>
      <c r="D103" s="35"/>
      <c r="E103" s="36"/>
      <c r="F103" s="36">
        <v>1.3504074505238641</v>
      </c>
      <c r="G103" s="36">
        <v>3.1347962382445582E-2</v>
      </c>
      <c r="H103" s="36">
        <v>-0.95238095238095144</v>
      </c>
      <c r="I103" s="36">
        <v>-0.21028037383177581</v>
      </c>
      <c r="J103" s="36">
        <v>0.22002200220022</v>
      </c>
      <c r="K103" s="36">
        <v>1.8518518518518516</v>
      </c>
      <c r="L103" s="36">
        <v>0.96059113300492749</v>
      </c>
      <c r="M103" s="36">
        <v>1.7040358744394621</v>
      </c>
      <c r="N103" s="36">
        <v>3.5</v>
      </c>
      <c r="O103" s="36"/>
      <c r="AS103" s="59"/>
      <c r="AT103" s="59"/>
      <c r="AV103" s="59"/>
      <c r="AW103" s="59"/>
      <c r="BB103" s="57"/>
      <c r="BQ103" s="58"/>
      <c r="BR103" s="58"/>
      <c r="BS103" s="57"/>
      <c r="BT103" s="17"/>
    </row>
    <row r="104" spans="1:72" s="56" customFormat="1" x14ac:dyDescent="0.2">
      <c r="A104" s="34" t="s">
        <v>182</v>
      </c>
      <c r="B104" s="34" t="s">
        <v>95</v>
      </c>
      <c r="C104" s="35"/>
      <c r="D104" s="35"/>
      <c r="E104" s="36"/>
      <c r="F104" s="36">
        <v>3.3993015133876598</v>
      </c>
      <c r="G104" s="36">
        <v>-1.3949843260188073</v>
      </c>
      <c r="H104" s="36">
        <v>6.8027210884354705E-2</v>
      </c>
      <c r="I104" s="36">
        <v>-0.70093457943925241</v>
      </c>
      <c r="J104" s="36">
        <v>-1.3971397139713975</v>
      </c>
      <c r="K104" s="36">
        <v>-2.013888888888888</v>
      </c>
      <c r="L104" s="36">
        <v>-0.41871921182266081</v>
      </c>
      <c r="M104" s="36">
        <v>0.43721973094170463</v>
      </c>
      <c r="N104" s="36">
        <v>3.5</v>
      </c>
      <c r="O104" s="36"/>
      <c r="AS104" s="59"/>
      <c r="AT104" s="59"/>
      <c r="AV104" s="59"/>
      <c r="AW104" s="59"/>
      <c r="BB104" s="57"/>
      <c r="BQ104" s="58"/>
      <c r="BR104" s="58"/>
      <c r="BS104" s="57"/>
      <c r="BT104" s="17"/>
    </row>
    <row r="105" spans="1:72" s="56" customFormat="1" x14ac:dyDescent="0.2">
      <c r="A105" s="34" t="s">
        <v>183</v>
      </c>
      <c r="B105" s="34" t="s">
        <v>96</v>
      </c>
      <c r="C105" s="35"/>
      <c r="D105" s="35"/>
      <c r="E105" s="36"/>
      <c r="F105" s="36">
        <v>2.0954598370197903</v>
      </c>
      <c r="G105" s="36">
        <v>0.32915360501567525</v>
      </c>
      <c r="H105" s="36">
        <v>-0.40816326530612101</v>
      </c>
      <c r="I105" s="36">
        <v>0.53738317757009324</v>
      </c>
      <c r="J105" s="36">
        <v>2.3762376237623761</v>
      </c>
      <c r="K105" s="36">
        <v>1.6666666666666672</v>
      </c>
      <c r="L105" s="36">
        <v>2.9556650246305418</v>
      </c>
      <c r="M105" s="36">
        <v>1.0089686098654709</v>
      </c>
      <c r="N105" s="36">
        <v>3.5</v>
      </c>
      <c r="O105" s="36"/>
      <c r="AS105" s="59"/>
      <c r="AT105" s="59"/>
      <c r="AV105" s="59"/>
      <c r="AW105" s="59"/>
      <c r="BB105" s="57"/>
      <c r="BQ105" s="58"/>
      <c r="BR105" s="58"/>
      <c r="BS105" s="57"/>
      <c r="BT105" s="17"/>
    </row>
    <row r="106" spans="1:72" s="56" customFormat="1" x14ac:dyDescent="0.2">
      <c r="A106" s="34" t="s">
        <v>184</v>
      </c>
      <c r="B106" s="34" t="s">
        <v>97</v>
      </c>
      <c r="C106" s="35"/>
      <c r="D106" s="35"/>
      <c r="E106" s="36"/>
      <c r="F106" s="36">
        <v>-4.7031431897555303</v>
      </c>
      <c r="G106" s="36">
        <v>-3.1974921630094024</v>
      </c>
      <c r="H106" s="36">
        <v>2.3129251700680289</v>
      </c>
      <c r="I106" s="36">
        <v>-4.9299065420560755</v>
      </c>
      <c r="J106" s="36">
        <v>-2.8382838283828389</v>
      </c>
      <c r="K106" s="36">
        <v>-2.1527777777777768</v>
      </c>
      <c r="L106" s="36">
        <v>-5</v>
      </c>
      <c r="M106" s="36">
        <v>-1.9170403587443938</v>
      </c>
      <c r="N106" s="36">
        <v>3.5</v>
      </c>
      <c r="O106" s="36"/>
      <c r="AS106" s="59"/>
      <c r="AT106" s="59"/>
      <c r="AV106" s="59"/>
      <c r="AW106" s="59"/>
      <c r="BB106" s="57"/>
      <c r="BQ106" s="58"/>
      <c r="BR106" s="58"/>
      <c r="BS106" s="57"/>
      <c r="BT106" s="17"/>
    </row>
    <row r="107" spans="1:72" s="56" customFormat="1" x14ac:dyDescent="0.2">
      <c r="A107" s="34" t="s">
        <v>185</v>
      </c>
      <c r="B107" s="34" t="s">
        <v>98</v>
      </c>
      <c r="C107" s="35"/>
      <c r="D107" s="35"/>
      <c r="E107" s="36"/>
      <c r="F107" s="36">
        <v>-2.8754365541327109</v>
      </c>
      <c r="G107" s="36">
        <v>-1.7398119122257041</v>
      </c>
      <c r="H107" s="36">
        <v>0.74829931972789221</v>
      </c>
      <c r="I107" s="36">
        <v>-0.67757009345794406</v>
      </c>
      <c r="J107" s="36">
        <v>-2.3432343234323438</v>
      </c>
      <c r="K107" s="36">
        <v>-2.1527777777777768</v>
      </c>
      <c r="L107" s="36">
        <v>0.78817733990147854</v>
      </c>
      <c r="M107" s="36">
        <v>-3.4192825112107617</v>
      </c>
      <c r="N107" s="36">
        <v>3.5</v>
      </c>
      <c r="O107" s="36"/>
      <c r="AS107" s="59"/>
      <c r="AT107" s="59"/>
      <c r="AV107" s="59"/>
      <c r="AW107" s="59"/>
      <c r="BB107" s="57"/>
      <c r="BQ107" s="58"/>
      <c r="BR107" s="58"/>
      <c r="BS107" s="57"/>
      <c r="BT107" s="17"/>
    </row>
    <row r="108" spans="1:72" s="56" customFormat="1" x14ac:dyDescent="0.2">
      <c r="A108" s="34" t="s">
        <v>186</v>
      </c>
      <c r="B108" s="34" t="s">
        <v>99</v>
      </c>
      <c r="C108" s="35"/>
      <c r="D108" s="35"/>
      <c r="E108" s="36"/>
      <c r="F108" s="36">
        <v>3.1548311990686835</v>
      </c>
      <c r="G108" s="36">
        <v>0.53291536050156818</v>
      </c>
      <c r="H108" s="36">
        <v>-1.3605442176870748</v>
      </c>
      <c r="I108" s="36">
        <v>0.60747663551401865</v>
      </c>
      <c r="J108" s="36">
        <v>0.47304730473047268</v>
      </c>
      <c r="K108" s="36">
        <v>0.93750000000000011</v>
      </c>
      <c r="L108" s="36">
        <v>0.66502463054187255</v>
      </c>
      <c r="M108" s="36">
        <v>-1.1210762331837928E-2</v>
      </c>
      <c r="N108" s="36">
        <v>3.5</v>
      </c>
      <c r="O108" s="36"/>
      <c r="AS108" s="59"/>
      <c r="AT108" s="59"/>
      <c r="AV108" s="59"/>
      <c r="AW108" s="59"/>
      <c r="BB108" s="57"/>
      <c r="BQ108" s="58"/>
      <c r="BR108" s="58"/>
      <c r="BS108" s="57"/>
      <c r="BT108" s="17"/>
    </row>
    <row r="109" spans="1:72" s="56" customFormat="1" x14ac:dyDescent="0.2">
      <c r="A109" s="34" t="s">
        <v>187</v>
      </c>
      <c r="B109" s="34" t="s">
        <v>100</v>
      </c>
      <c r="C109" s="35"/>
      <c r="D109" s="35"/>
      <c r="E109" s="36"/>
      <c r="F109" s="36">
        <v>3.4575087310826542</v>
      </c>
      <c r="G109" s="36">
        <v>3.181818181818183</v>
      </c>
      <c r="H109" s="36">
        <v>-2.1088435374149648</v>
      </c>
      <c r="I109" s="36">
        <v>0.39719626168224287</v>
      </c>
      <c r="J109" s="36">
        <v>1.6501650165016495</v>
      </c>
      <c r="K109" s="36">
        <v>3.6226851851851851</v>
      </c>
      <c r="L109" s="36">
        <v>-1.3300492610837418</v>
      </c>
      <c r="M109" s="36">
        <v>1.7264573991031396</v>
      </c>
      <c r="N109" s="36">
        <v>3.5</v>
      </c>
      <c r="O109" s="36"/>
      <c r="AS109" s="59"/>
      <c r="AT109" s="59"/>
      <c r="AV109" s="59"/>
      <c r="AW109" s="59"/>
      <c r="BB109" s="57"/>
      <c r="BQ109" s="58"/>
      <c r="BR109" s="58"/>
      <c r="BS109" s="57"/>
      <c r="BT109" s="17"/>
    </row>
    <row r="110" spans="1:72" s="56" customFormat="1" x14ac:dyDescent="0.2">
      <c r="A110" s="34" t="s">
        <v>188</v>
      </c>
      <c r="B110" s="34" t="s">
        <v>101</v>
      </c>
      <c r="C110" s="35"/>
      <c r="D110" s="35"/>
      <c r="E110" s="36"/>
      <c r="F110" s="36">
        <v>2.6658905704307339</v>
      </c>
      <c r="G110" s="36">
        <v>-1.4890282131661439</v>
      </c>
      <c r="H110" s="36">
        <v>-1.2244897959183654</v>
      </c>
      <c r="I110" s="36">
        <v>0.67757009345794383</v>
      </c>
      <c r="J110" s="36">
        <v>-0.34103410341034118</v>
      </c>
      <c r="K110" s="36">
        <v>4.6296296296296953E-2</v>
      </c>
      <c r="L110" s="36">
        <v>-1.3054187192118218</v>
      </c>
      <c r="M110" s="36">
        <v>0.2802690582959641</v>
      </c>
      <c r="N110" s="36">
        <v>-0.17857142857142874</v>
      </c>
      <c r="O110" s="36"/>
      <c r="AS110" s="59"/>
      <c r="AT110" s="59"/>
      <c r="AV110" s="59"/>
      <c r="AW110" s="59"/>
      <c r="BB110" s="57"/>
      <c r="BQ110" s="58"/>
      <c r="BR110" s="58"/>
      <c r="BS110" s="57"/>
      <c r="BT110" s="17"/>
    </row>
    <row r="111" spans="1:72" s="56" customFormat="1" x14ac:dyDescent="0.2">
      <c r="A111" s="34" t="s">
        <v>189</v>
      </c>
      <c r="B111" s="34" t="s">
        <v>102</v>
      </c>
      <c r="C111" s="35"/>
      <c r="D111" s="35"/>
      <c r="E111" s="36"/>
      <c r="F111" s="36">
        <v>3.0384167636786952</v>
      </c>
      <c r="G111" s="36">
        <v>1.6457680250783697</v>
      </c>
      <c r="H111" s="36">
        <v>-2.0408163265306123</v>
      </c>
      <c r="I111" s="36">
        <v>-0.25700934579439288</v>
      </c>
      <c r="J111" s="36">
        <v>1.419141914191419</v>
      </c>
      <c r="K111" s="36">
        <v>1.7129629629629635</v>
      </c>
      <c r="L111" s="36">
        <v>2.857142857142859</v>
      </c>
      <c r="M111" s="36">
        <v>1.6367713004484314</v>
      </c>
      <c r="N111" s="36">
        <v>3.5</v>
      </c>
      <c r="O111" s="36"/>
      <c r="AS111" s="59"/>
      <c r="AT111" s="59"/>
      <c r="AV111" s="59"/>
      <c r="AW111" s="59"/>
      <c r="BB111" s="57"/>
      <c r="BQ111" s="58"/>
      <c r="BR111" s="58"/>
      <c r="BS111" s="57"/>
      <c r="BT111" s="17"/>
    </row>
    <row r="112" spans="1:72" s="56" customFormat="1" x14ac:dyDescent="0.2">
      <c r="A112" s="34" t="s">
        <v>190</v>
      </c>
      <c r="B112" s="34" t="s">
        <v>103</v>
      </c>
      <c r="C112" s="35"/>
      <c r="D112" s="35"/>
      <c r="E112" s="36"/>
      <c r="F112" s="36">
        <v>1.3969732246798603</v>
      </c>
      <c r="G112" s="36">
        <v>1.0501567398119125</v>
      </c>
      <c r="H112" s="36">
        <v>0.40816326530612346</v>
      </c>
      <c r="I112" s="36">
        <v>1.191588785046729</v>
      </c>
      <c r="J112" s="36">
        <v>0.75907590759075882</v>
      </c>
      <c r="K112" s="36">
        <v>-0.8564814814814804</v>
      </c>
      <c r="L112" s="36">
        <v>1.8965517241379317</v>
      </c>
      <c r="M112" s="36">
        <v>-0.5605381165919282</v>
      </c>
      <c r="N112" s="36">
        <v>3.5</v>
      </c>
      <c r="O112" s="36"/>
      <c r="AS112" s="59"/>
      <c r="AT112" s="59"/>
      <c r="AV112" s="59"/>
      <c r="AW112" s="59"/>
      <c r="BB112" s="57"/>
      <c r="BQ112" s="58"/>
      <c r="BR112" s="58"/>
      <c r="BS112" s="57"/>
      <c r="BT112" s="17"/>
    </row>
    <row r="113" spans="1:72" s="56" customFormat="1" x14ac:dyDescent="0.2">
      <c r="A113" s="34" t="s">
        <v>246</v>
      </c>
      <c r="B113" s="34" t="s">
        <v>247</v>
      </c>
      <c r="C113" s="34"/>
      <c r="D113" s="34"/>
      <c r="E113" s="34"/>
      <c r="F113" s="36">
        <v>2.8754365541327127</v>
      </c>
      <c r="G113" s="36">
        <v>-1.1912225705329142</v>
      </c>
      <c r="H113" s="36">
        <v>-0.88435374149659673</v>
      </c>
      <c r="I113" s="36">
        <v>1.0514018691588785</v>
      </c>
      <c r="J113" s="36">
        <v>-0.46204620462046231</v>
      </c>
      <c r="K113" s="36">
        <v>0.12731481481481496</v>
      </c>
      <c r="L113" s="36">
        <v>2.3399014778325125</v>
      </c>
      <c r="M113" s="36">
        <v>-0.78475336322869949</v>
      </c>
      <c r="N113" s="36">
        <v>3.5</v>
      </c>
      <c r="O113" s="36"/>
      <c r="AS113" s="59"/>
      <c r="AT113" s="59"/>
      <c r="AV113" s="59"/>
      <c r="AW113" s="59"/>
      <c r="BB113" s="57"/>
      <c r="BQ113" s="58"/>
      <c r="BR113" s="58"/>
      <c r="BS113" s="57"/>
      <c r="BT113" s="17"/>
    </row>
    <row r="114" spans="1:72" s="51" customFormat="1" x14ac:dyDescent="0.2">
      <c r="F114" s="52"/>
      <c r="G114" s="52"/>
      <c r="H114" s="52"/>
      <c r="I114" s="52"/>
      <c r="J114" s="52"/>
      <c r="K114" s="52"/>
      <c r="L114" s="52"/>
      <c r="M114" s="52"/>
      <c r="N114" s="52"/>
      <c r="AS114" s="54"/>
      <c r="AT114" s="54"/>
      <c r="AV114" s="54"/>
      <c r="AW114" s="54"/>
      <c r="BB114" s="52"/>
      <c r="BT114" s="30"/>
    </row>
    <row r="115" spans="1:72" s="51" customFormat="1" x14ac:dyDescent="0.2">
      <c r="F115" s="52"/>
      <c r="G115" s="52"/>
      <c r="H115" s="52"/>
      <c r="I115" s="52"/>
      <c r="J115" s="52"/>
      <c r="K115" s="52"/>
      <c r="L115" s="52"/>
      <c r="M115" s="52"/>
      <c r="N115" s="52"/>
      <c r="AS115" s="54"/>
      <c r="AT115" s="54"/>
      <c r="AV115" s="54"/>
      <c r="AW115" s="54"/>
      <c r="BB115" s="52"/>
      <c r="BT115" s="30"/>
    </row>
    <row r="116" spans="1:72" s="51" customFormat="1" x14ac:dyDescent="0.2">
      <c r="AS116" s="54"/>
      <c r="AT116" s="54"/>
      <c r="AV116" s="54"/>
      <c r="AW116" s="54"/>
      <c r="BB116" s="52"/>
      <c r="BT116" s="30"/>
    </row>
    <row r="117" spans="1:72" s="51" customFormat="1" x14ac:dyDescent="0.2">
      <c r="AS117" s="54"/>
      <c r="AT117" s="54"/>
      <c r="AV117" s="54"/>
      <c r="AW117" s="54"/>
      <c r="BB117" s="52"/>
      <c r="BT117" s="30"/>
    </row>
    <row r="118" spans="1:72" s="51" customFormat="1" x14ac:dyDescent="0.2">
      <c r="AS118" s="54"/>
      <c r="AT118" s="54"/>
      <c r="AV118" s="54"/>
      <c r="AW118" s="54"/>
      <c r="BB118" s="52"/>
      <c r="BT118" s="30"/>
    </row>
    <row r="119" spans="1:72" s="51" customFormat="1" x14ac:dyDescent="0.2">
      <c r="N119" s="52"/>
      <c r="O119" s="55"/>
      <c r="P119" s="53"/>
      <c r="T119" s="52"/>
      <c r="AB119" s="53"/>
      <c r="AS119" s="54"/>
      <c r="AT119" s="54"/>
      <c r="AV119" s="54"/>
      <c r="AW119" s="54"/>
      <c r="BB119" s="52"/>
      <c r="BT119" s="30"/>
    </row>
    <row r="120" spans="1:72" s="51" customFormat="1" x14ac:dyDescent="0.2">
      <c r="N120" s="52"/>
      <c r="O120" s="55"/>
      <c r="P120" s="53"/>
      <c r="T120" s="52"/>
      <c r="AB120" s="53"/>
      <c r="AS120" s="54"/>
      <c r="AT120" s="54"/>
      <c r="AV120" s="54"/>
      <c r="AW120" s="54"/>
      <c r="BB120" s="52"/>
      <c r="BT120" s="30"/>
    </row>
    <row r="121" spans="1:72" s="51" customFormat="1" x14ac:dyDescent="0.2">
      <c r="N121" s="52"/>
      <c r="O121" s="55"/>
      <c r="P121" s="53"/>
      <c r="T121" s="52"/>
      <c r="AB121" s="53"/>
      <c r="AS121" s="54"/>
      <c r="AT121" s="54"/>
      <c r="AV121" s="54"/>
      <c r="AW121" s="54"/>
      <c r="BB121" s="52"/>
      <c r="BT121" s="30"/>
    </row>
    <row r="122" spans="1:72" s="51" customFormat="1" x14ac:dyDescent="0.2">
      <c r="N122" s="52"/>
      <c r="O122" s="55"/>
      <c r="P122" s="53"/>
      <c r="T122" s="52"/>
      <c r="AB122" s="53"/>
      <c r="AS122" s="54"/>
      <c r="AT122" s="54"/>
      <c r="AV122" s="54"/>
      <c r="AW122" s="54"/>
      <c r="BB122" s="52"/>
      <c r="BT122" s="30"/>
    </row>
    <row r="123" spans="1:72" s="51" customFormat="1" x14ac:dyDescent="0.2">
      <c r="N123" s="52"/>
      <c r="O123" s="55"/>
      <c r="P123" s="53"/>
      <c r="T123" s="52"/>
      <c r="AB123" s="53"/>
      <c r="AS123" s="54"/>
      <c r="AT123" s="54"/>
      <c r="AV123" s="54"/>
      <c r="AW123" s="54"/>
      <c r="BB123" s="52"/>
      <c r="BT123" s="30"/>
    </row>
    <row r="124" spans="1:72" s="51" customFormat="1" x14ac:dyDescent="0.2">
      <c r="N124" s="52"/>
      <c r="O124" s="55"/>
      <c r="P124" s="53"/>
      <c r="T124" s="52"/>
      <c r="AB124" s="53"/>
      <c r="AS124" s="54"/>
      <c r="AT124" s="54"/>
      <c r="AV124" s="54"/>
      <c r="AW124" s="54"/>
      <c r="BB124" s="52"/>
      <c r="BT124" s="30"/>
    </row>
    <row r="125" spans="1:72" s="51" customFormat="1" x14ac:dyDescent="0.2">
      <c r="N125" s="52"/>
      <c r="O125" s="55"/>
      <c r="P125" s="53"/>
      <c r="T125" s="52"/>
      <c r="AB125" s="53"/>
      <c r="AS125" s="54"/>
      <c r="AT125" s="54"/>
      <c r="AV125" s="54"/>
      <c r="AW125" s="54"/>
      <c r="BB125" s="52"/>
      <c r="BT125" s="30"/>
    </row>
    <row r="126" spans="1:72" s="51" customFormat="1" x14ac:dyDescent="0.2">
      <c r="N126" s="52"/>
      <c r="O126" s="55"/>
      <c r="P126" s="53"/>
      <c r="T126" s="52"/>
      <c r="AB126" s="53"/>
      <c r="AS126" s="54"/>
      <c r="AT126" s="54"/>
      <c r="AV126" s="54"/>
      <c r="AW126" s="54"/>
      <c r="BB126" s="52"/>
      <c r="BT126" s="30"/>
    </row>
    <row r="127" spans="1:72" s="51" customFormat="1" x14ac:dyDescent="0.2">
      <c r="N127" s="52"/>
      <c r="O127" s="55"/>
      <c r="P127" s="53"/>
      <c r="T127" s="52"/>
      <c r="AB127" s="53"/>
      <c r="AS127" s="54"/>
      <c r="AT127" s="54"/>
      <c r="AV127" s="54"/>
      <c r="AW127" s="54"/>
      <c r="BB127" s="52"/>
      <c r="BT127" s="30"/>
    </row>
    <row r="128" spans="1:72" s="51" customFormat="1" x14ac:dyDescent="0.2">
      <c r="N128" s="52"/>
      <c r="O128" s="55"/>
      <c r="P128" s="53"/>
      <c r="T128" s="52"/>
      <c r="AB128" s="53"/>
      <c r="AS128" s="54"/>
      <c r="AT128" s="54"/>
      <c r="AV128" s="54"/>
      <c r="AW128" s="54"/>
      <c r="BB128" s="52"/>
      <c r="BT128" s="30"/>
    </row>
    <row r="129" spans="14:72" s="51" customFormat="1" x14ac:dyDescent="0.2">
      <c r="N129" s="52"/>
      <c r="O129" s="55"/>
      <c r="P129" s="53"/>
      <c r="T129" s="52"/>
      <c r="AB129" s="53"/>
      <c r="AS129" s="54"/>
      <c r="AT129" s="54"/>
      <c r="AV129" s="54"/>
      <c r="AW129" s="54"/>
      <c r="BB129" s="52"/>
      <c r="BT129" s="30"/>
    </row>
    <row r="130" spans="14:72" s="51" customFormat="1" x14ac:dyDescent="0.2">
      <c r="N130" s="52"/>
      <c r="O130" s="55"/>
      <c r="P130" s="53"/>
      <c r="T130" s="52"/>
      <c r="AB130" s="53"/>
      <c r="AS130" s="54"/>
      <c r="AT130" s="54"/>
      <c r="AV130" s="54"/>
      <c r="AW130" s="54"/>
      <c r="BB130" s="52"/>
      <c r="BT130" s="30"/>
    </row>
    <row r="131" spans="14:72" s="51" customFormat="1" x14ac:dyDescent="0.2">
      <c r="N131" s="52"/>
      <c r="O131" s="55"/>
      <c r="P131" s="53"/>
      <c r="T131" s="52"/>
      <c r="AB131" s="53"/>
      <c r="AS131" s="54"/>
      <c r="AT131" s="54"/>
      <c r="AV131" s="54"/>
      <c r="AW131" s="54"/>
      <c r="BB131" s="52"/>
      <c r="BT131" s="30"/>
    </row>
    <row r="132" spans="14:72" s="51" customFormat="1" x14ac:dyDescent="0.2">
      <c r="N132" s="52"/>
      <c r="O132" s="55"/>
      <c r="P132" s="53"/>
      <c r="T132" s="52"/>
      <c r="AB132" s="53"/>
      <c r="AS132" s="54"/>
      <c r="AT132" s="54"/>
      <c r="AV132" s="54"/>
      <c r="AW132" s="54"/>
      <c r="BB132" s="52"/>
      <c r="BT132" s="30"/>
    </row>
    <row r="133" spans="14:72" s="51" customFormat="1" x14ac:dyDescent="0.2">
      <c r="N133" s="52"/>
      <c r="O133" s="55"/>
      <c r="P133" s="53"/>
      <c r="T133" s="52"/>
      <c r="AB133" s="53"/>
      <c r="AS133" s="54"/>
      <c r="AT133" s="54"/>
      <c r="AV133" s="54"/>
      <c r="AW133" s="54"/>
      <c r="BB133" s="52"/>
      <c r="BT133" s="30"/>
    </row>
    <row r="134" spans="14:72" s="51" customFormat="1" x14ac:dyDescent="0.2">
      <c r="N134" s="52"/>
      <c r="O134" s="55"/>
      <c r="P134" s="53"/>
      <c r="T134" s="52"/>
      <c r="AB134" s="53"/>
      <c r="AS134" s="54"/>
      <c r="AT134" s="54"/>
      <c r="AV134" s="54"/>
      <c r="AW134" s="54"/>
      <c r="BB134" s="52"/>
      <c r="BT134" s="30"/>
    </row>
    <row r="135" spans="14:72" s="51" customFormat="1" x14ac:dyDescent="0.2">
      <c r="N135" s="52"/>
      <c r="O135" s="55"/>
      <c r="P135" s="53"/>
      <c r="T135" s="52"/>
      <c r="AB135" s="53"/>
      <c r="AS135" s="54"/>
      <c r="AT135" s="54"/>
      <c r="AV135" s="54"/>
      <c r="AW135" s="54"/>
      <c r="BB135" s="52"/>
      <c r="BT135" s="30"/>
    </row>
    <row r="136" spans="14:72" s="51" customFormat="1" x14ac:dyDescent="0.2">
      <c r="N136" s="52"/>
      <c r="O136" s="55"/>
      <c r="P136" s="53"/>
      <c r="T136" s="52"/>
      <c r="AB136" s="53"/>
      <c r="AS136" s="54"/>
      <c r="AT136" s="54"/>
      <c r="AV136" s="54"/>
      <c r="AW136" s="54"/>
      <c r="BB136" s="52"/>
      <c r="BT136" s="30"/>
    </row>
    <row r="137" spans="14:72" s="51" customFormat="1" x14ac:dyDescent="0.2">
      <c r="N137" s="52"/>
      <c r="O137" s="55"/>
      <c r="P137" s="53"/>
      <c r="T137" s="52"/>
      <c r="AB137" s="53"/>
      <c r="AS137" s="54"/>
      <c r="AT137" s="54"/>
      <c r="AV137" s="54"/>
      <c r="AW137" s="54"/>
      <c r="BB137" s="52"/>
      <c r="BT137" s="30"/>
    </row>
    <row r="138" spans="14:72" s="51" customFormat="1" x14ac:dyDescent="0.2">
      <c r="N138" s="52"/>
      <c r="O138" s="55"/>
      <c r="P138" s="53"/>
      <c r="T138" s="52"/>
      <c r="AB138" s="53"/>
      <c r="AS138" s="54"/>
      <c r="AT138" s="54"/>
      <c r="AV138" s="54"/>
      <c r="AW138" s="54"/>
      <c r="BB138" s="52"/>
      <c r="BT138" s="30"/>
    </row>
    <row r="139" spans="14:72" s="51" customFormat="1" x14ac:dyDescent="0.2">
      <c r="N139" s="52"/>
      <c r="O139" s="55"/>
      <c r="P139" s="53"/>
      <c r="T139" s="52"/>
      <c r="AB139" s="53"/>
      <c r="AS139" s="54"/>
      <c r="AT139" s="54"/>
      <c r="AV139" s="54"/>
      <c r="AW139" s="54"/>
      <c r="BB139" s="52"/>
      <c r="BT139" s="30"/>
    </row>
    <row r="140" spans="14:72" s="51" customFormat="1" x14ac:dyDescent="0.2">
      <c r="N140" s="52"/>
      <c r="O140" s="55"/>
      <c r="P140" s="53"/>
      <c r="T140" s="52"/>
      <c r="AB140" s="53"/>
      <c r="AS140" s="54"/>
      <c r="AT140" s="54"/>
      <c r="AV140" s="54"/>
      <c r="AW140" s="54"/>
      <c r="BB140" s="52"/>
      <c r="BT140" s="30"/>
    </row>
    <row r="141" spans="14:72" s="51" customFormat="1" x14ac:dyDescent="0.2">
      <c r="N141" s="52"/>
      <c r="O141" s="55"/>
      <c r="P141" s="53"/>
      <c r="T141" s="52"/>
      <c r="AB141" s="53"/>
      <c r="AS141" s="54"/>
      <c r="AT141" s="54"/>
      <c r="AV141" s="54"/>
      <c r="AW141" s="54"/>
      <c r="BB141" s="52"/>
      <c r="BT141" s="30"/>
    </row>
    <row r="142" spans="14:72" s="51" customFormat="1" x14ac:dyDescent="0.2">
      <c r="N142" s="52"/>
      <c r="O142" s="55"/>
      <c r="P142" s="53"/>
      <c r="T142" s="52"/>
      <c r="AB142" s="53"/>
      <c r="AS142" s="54"/>
      <c r="AT142" s="54"/>
      <c r="AV142" s="54"/>
      <c r="AW142" s="54"/>
      <c r="BB142" s="52"/>
      <c r="BT142" s="30"/>
    </row>
    <row r="143" spans="14:72" s="51" customFormat="1" x14ac:dyDescent="0.2">
      <c r="N143" s="52"/>
      <c r="O143" s="55"/>
      <c r="P143" s="53"/>
      <c r="T143" s="52"/>
      <c r="AB143" s="53"/>
      <c r="AS143" s="54"/>
      <c r="AT143" s="54"/>
      <c r="AV143" s="54"/>
      <c r="AW143" s="54"/>
      <c r="BB143" s="52"/>
      <c r="BT143" s="30"/>
    </row>
    <row r="144" spans="14:72" s="51" customFormat="1" x14ac:dyDescent="0.2">
      <c r="N144" s="52"/>
      <c r="O144" s="55"/>
      <c r="P144" s="53"/>
      <c r="T144" s="52"/>
      <c r="AB144" s="53"/>
      <c r="AS144" s="54"/>
      <c r="AT144" s="54"/>
      <c r="AV144" s="54"/>
      <c r="AW144" s="54"/>
      <c r="BB144" s="52"/>
      <c r="BT144" s="30"/>
    </row>
    <row r="145" spans="14:72" s="51" customFormat="1" x14ac:dyDescent="0.2">
      <c r="N145" s="52"/>
      <c r="O145" s="55"/>
      <c r="P145" s="53"/>
      <c r="T145" s="52"/>
      <c r="AB145" s="53"/>
      <c r="AS145" s="54"/>
      <c r="AT145" s="54"/>
      <c r="AV145" s="54"/>
      <c r="AW145" s="54"/>
      <c r="BB145" s="52"/>
      <c r="BT145" s="30"/>
    </row>
    <row r="146" spans="14:72" s="51" customFormat="1" x14ac:dyDescent="0.2">
      <c r="N146" s="52"/>
      <c r="O146" s="55"/>
      <c r="P146" s="53"/>
      <c r="T146" s="52"/>
      <c r="AB146" s="53"/>
      <c r="AS146" s="54"/>
      <c r="AT146" s="54"/>
      <c r="AV146" s="54"/>
      <c r="AW146" s="54"/>
      <c r="BB146" s="52"/>
      <c r="BT146" s="30"/>
    </row>
    <row r="147" spans="14:72" s="51" customFormat="1" x14ac:dyDescent="0.2">
      <c r="N147" s="52"/>
      <c r="O147" s="55"/>
      <c r="P147" s="53"/>
      <c r="T147" s="52"/>
      <c r="AB147" s="53"/>
      <c r="AS147" s="54"/>
      <c r="AT147" s="54"/>
      <c r="AV147" s="54"/>
      <c r="AW147" s="54"/>
      <c r="BB147" s="52"/>
      <c r="BT147" s="30"/>
    </row>
    <row r="148" spans="14:72" s="51" customFormat="1" x14ac:dyDescent="0.2">
      <c r="N148" s="52"/>
      <c r="O148" s="55"/>
      <c r="P148" s="53"/>
      <c r="T148" s="52"/>
      <c r="AB148" s="53"/>
      <c r="AS148" s="54"/>
      <c r="AT148" s="54"/>
      <c r="AV148" s="54"/>
      <c r="AW148" s="54"/>
      <c r="BB148" s="52"/>
      <c r="BT148" s="30"/>
    </row>
    <row r="149" spans="14:72" s="51" customFormat="1" x14ac:dyDescent="0.2">
      <c r="N149" s="52"/>
      <c r="O149" s="55"/>
      <c r="P149" s="53"/>
      <c r="T149" s="52"/>
      <c r="AB149" s="53"/>
      <c r="AS149" s="54"/>
      <c r="AT149" s="54"/>
      <c r="AV149" s="54"/>
      <c r="AW149" s="54"/>
      <c r="BB149" s="52"/>
      <c r="BT149" s="30"/>
    </row>
    <row r="150" spans="14:72" s="51" customFormat="1" x14ac:dyDescent="0.2">
      <c r="N150" s="52"/>
      <c r="O150" s="55"/>
      <c r="P150" s="53"/>
      <c r="T150" s="52"/>
      <c r="AB150" s="53"/>
      <c r="AS150" s="54"/>
      <c r="AT150" s="54"/>
      <c r="AV150" s="54"/>
      <c r="AW150" s="54"/>
      <c r="BB150" s="52"/>
      <c r="BT150" s="30"/>
    </row>
    <row r="151" spans="14:72" s="51" customFormat="1" x14ac:dyDescent="0.2">
      <c r="N151" s="52"/>
      <c r="O151" s="55"/>
      <c r="P151" s="53"/>
      <c r="T151" s="52"/>
      <c r="AB151" s="53"/>
      <c r="AS151" s="54"/>
      <c r="AT151" s="54"/>
      <c r="AV151" s="54"/>
      <c r="AW151" s="54"/>
      <c r="BB151" s="52"/>
      <c r="BT151" s="30"/>
    </row>
    <row r="152" spans="14:72" s="51" customFormat="1" x14ac:dyDescent="0.2">
      <c r="N152" s="52"/>
      <c r="O152" s="55"/>
      <c r="P152" s="53"/>
      <c r="T152" s="52"/>
      <c r="AB152" s="53"/>
      <c r="AS152" s="54"/>
      <c r="AT152" s="54"/>
      <c r="AV152" s="54"/>
      <c r="AW152" s="54"/>
      <c r="BB152" s="52"/>
      <c r="BT152" s="30"/>
    </row>
    <row r="153" spans="14:72" s="51" customFormat="1" x14ac:dyDescent="0.2">
      <c r="N153" s="52"/>
      <c r="O153" s="55"/>
      <c r="P153" s="53"/>
      <c r="T153" s="52"/>
      <c r="AB153" s="53"/>
      <c r="AS153" s="54"/>
      <c r="AT153" s="54"/>
      <c r="AV153" s="54"/>
      <c r="AW153" s="54"/>
      <c r="BB153" s="52"/>
      <c r="BT153" s="30"/>
    </row>
    <row r="154" spans="14:72" s="51" customFormat="1" x14ac:dyDescent="0.2">
      <c r="N154" s="52"/>
      <c r="O154" s="55"/>
      <c r="P154" s="53"/>
      <c r="T154" s="52"/>
      <c r="AB154" s="53"/>
      <c r="AS154" s="54"/>
      <c r="AT154" s="54"/>
      <c r="AV154" s="54"/>
      <c r="AW154" s="54"/>
      <c r="BB154" s="52"/>
      <c r="BT154" s="30"/>
    </row>
    <row r="155" spans="14:72" s="51" customFormat="1" x14ac:dyDescent="0.2">
      <c r="N155" s="52"/>
      <c r="O155" s="55"/>
      <c r="P155" s="53"/>
      <c r="T155" s="52"/>
      <c r="AB155" s="53"/>
      <c r="AS155" s="54"/>
      <c r="AT155" s="54"/>
      <c r="AV155" s="54"/>
      <c r="AW155" s="54"/>
      <c r="BB155" s="52"/>
      <c r="BT155" s="30"/>
    </row>
    <row r="156" spans="14:72" s="51" customFormat="1" x14ac:dyDescent="0.2">
      <c r="N156" s="52"/>
      <c r="O156" s="55"/>
      <c r="P156" s="53"/>
      <c r="T156" s="52"/>
      <c r="AB156" s="53"/>
      <c r="AS156" s="54"/>
      <c r="AT156" s="54"/>
      <c r="AV156" s="54"/>
      <c r="AW156" s="54"/>
      <c r="BB156" s="52"/>
      <c r="BT156" s="30"/>
    </row>
    <row r="157" spans="14:72" x14ac:dyDescent="0.2">
      <c r="N157" s="32"/>
      <c r="O157" s="45"/>
      <c r="P157" s="17"/>
      <c r="T157" s="32"/>
      <c r="AB157" s="17"/>
    </row>
    <row r="158" spans="14:72" x14ac:dyDescent="0.2">
      <c r="N158" s="32"/>
      <c r="O158" s="45"/>
      <c r="P158" s="17"/>
      <c r="T158" s="32"/>
      <c r="AB158" s="17"/>
    </row>
    <row r="159" spans="14:72" x14ac:dyDescent="0.2">
      <c r="N159" s="32"/>
      <c r="O159" s="45"/>
      <c r="P159" s="17"/>
      <c r="T159" s="32"/>
      <c r="AB159" s="17"/>
    </row>
    <row r="160" spans="14:72" x14ac:dyDescent="0.2">
      <c r="N160" s="32"/>
      <c r="O160" s="45"/>
      <c r="P160" s="17"/>
      <c r="T160" s="32"/>
      <c r="AB160" s="17"/>
    </row>
    <row r="161" spans="14:72" s="34" customFormat="1" x14ac:dyDescent="0.2">
      <c r="N161" s="35"/>
      <c r="O161" s="44"/>
      <c r="P161" s="36"/>
      <c r="T161" s="35"/>
      <c r="U161" s="30"/>
      <c r="W161" s="30"/>
      <c r="X161" s="30"/>
      <c r="AB161" s="36"/>
      <c r="AG161" s="30"/>
      <c r="AH161" s="30"/>
      <c r="AI161" s="30"/>
      <c r="AJ161" s="30"/>
      <c r="AK161" s="30"/>
      <c r="AL161" s="30"/>
      <c r="AS161" s="50"/>
      <c r="AT161" s="50"/>
      <c r="AV161" s="50"/>
      <c r="AW161" s="50"/>
      <c r="BB161" s="35"/>
      <c r="BT161" s="30"/>
    </row>
    <row r="162" spans="14:72" s="34" customFormat="1" x14ac:dyDescent="0.2">
      <c r="N162" s="35"/>
      <c r="O162" s="44"/>
      <c r="P162" s="36"/>
      <c r="T162" s="35"/>
      <c r="U162" s="30"/>
      <c r="W162" s="30"/>
      <c r="X162" s="30"/>
      <c r="AB162" s="36"/>
      <c r="AG162" s="30"/>
      <c r="AH162" s="30"/>
      <c r="AI162" s="30"/>
      <c r="AJ162" s="30"/>
      <c r="AK162" s="30"/>
      <c r="AL162" s="30"/>
      <c r="AS162" s="50"/>
      <c r="AT162" s="50"/>
      <c r="AV162" s="50"/>
      <c r="AW162" s="50"/>
      <c r="BB162" s="35"/>
      <c r="BT162" s="30"/>
    </row>
    <row r="163" spans="14:72" s="34" customFormat="1" x14ac:dyDescent="0.2">
      <c r="N163" s="35"/>
      <c r="O163" s="44"/>
      <c r="P163" s="36"/>
      <c r="T163" s="35"/>
      <c r="U163" s="30"/>
      <c r="W163" s="30"/>
      <c r="X163" s="30"/>
      <c r="AB163" s="36"/>
      <c r="AG163" s="30"/>
      <c r="AH163" s="30"/>
      <c r="AI163" s="30"/>
      <c r="AJ163" s="30"/>
      <c r="AK163" s="30"/>
      <c r="AL163" s="30"/>
      <c r="AS163" s="50"/>
      <c r="AT163" s="50"/>
      <c r="AV163" s="50"/>
      <c r="AW163" s="50"/>
      <c r="BB163" s="35"/>
      <c r="BT163" s="30"/>
    </row>
    <row r="164" spans="14:72" s="34" customFormat="1" x14ac:dyDescent="0.2">
      <c r="N164" s="35"/>
      <c r="O164" s="44"/>
      <c r="P164" s="36"/>
      <c r="T164" s="35"/>
      <c r="U164" s="30"/>
      <c r="W164" s="30"/>
      <c r="X164" s="30"/>
      <c r="AB164" s="36"/>
      <c r="AG164" s="30"/>
      <c r="AH164" s="30"/>
      <c r="AI164" s="30"/>
      <c r="AJ164" s="30"/>
      <c r="AK164" s="30"/>
      <c r="AL164" s="30"/>
      <c r="AS164" s="50"/>
      <c r="AT164" s="50"/>
      <c r="AV164" s="50"/>
      <c r="AW164" s="50"/>
      <c r="BB164" s="35"/>
      <c r="BT164" s="30"/>
    </row>
    <row r="165" spans="14:72" s="34" customFormat="1" x14ac:dyDescent="0.2">
      <c r="N165" s="35"/>
      <c r="O165" s="44"/>
      <c r="P165" s="36"/>
      <c r="T165" s="35"/>
      <c r="U165" s="30"/>
      <c r="W165" s="30"/>
      <c r="X165" s="30"/>
      <c r="AB165" s="36"/>
      <c r="AG165" s="30"/>
      <c r="AH165" s="30"/>
      <c r="AI165" s="30"/>
      <c r="AJ165" s="30"/>
      <c r="AK165" s="30"/>
      <c r="AL165" s="30"/>
      <c r="AS165" s="50"/>
      <c r="AT165" s="50"/>
      <c r="AV165" s="50"/>
      <c r="AW165" s="50"/>
      <c r="BB165" s="35"/>
      <c r="BT165" s="30"/>
    </row>
    <row r="166" spans="14:72" s="34" customFormat="1" x14ac:dyDescent="0.2">
      <c r="N166" s="35"/>
      <c r="O166" s="44"/>
      <c r="P166" s="36"/>
      <c r="T166" s="35"/>
      <c r="U166" s="30"/>
      <c r="W166" s="30"/>
      <c r="X166" s="30"/>
      <c r="AB166" s="36"/>
      <c r="AG166" s="30"/>
      <c r="AH166" s="30"/>
      <c r="AI166" s="30"/>
      <c r="AJ166" s="30"/>
      <c r="AK166" s="30"/>
      <c r="AL166" s="30"/>
      <c r="AS166" s="50"/>
      <c r="AT166" s="50"/>
      <c r="AV166" s="50"/>
      <c r="AW166" s="50"/>
      <c r="BB166" s="35"/>
      <c r="BT166" s="30"/>
    </row>
    <row r="167" spans="14:72" s="34" customFormat="1" x14ac:dyDescent="0.2">
      <c r="N167" s="35"/>
      <c r="O167" s="44"/>
      <c r="P167" s="36"/>
      <c r="T167" s="35"/>
      <c r="U167" s="30"/>
      <c r="W167" s="30"/>
      <c r="X167" s="30"/>
      <c r="AB167" s="36"/>
      <c r="AG167" s="30"/>
      <c r="AH167" s="30"/>
      <c r="AI167" s="30"/>
      <c r="AJ167" s="30"/>
      <c r="AK167" s="30"/>
      <c r="AL167" s="30"/>
      <c r="AS167" s="50"/>
      <c r="AT167" s="50"/>
      <c r="AV167" s="50"/>
      <c r="AW167" s="50"/>
      <c r="BB167" s="35"/>
      <c r="BT167" s="30"/>
    </row>
    <row r="168" spans="14:72" s="34" customFormat="1" x14ac:dyDescent="0.2">
      <c r="N168" s="35"/>
      <c r="O168" s="44"/>
      <c r="P168" s="36"/>
      <c r="T168" s="35"/>
      <c r="U168" s="30"/>
      <c r="W168" s="30"/>
      <c r="X168" s="30"/>
      <c r="AB168" s="36"/>
      <c r="AG168" s="30"/>
      <c r="AH168" s="30"/>
      <c r="AI168" s="30"/>
      <c r="AJ168" s="30"/>
      <c r="AK168" s="30"/>
      <c r="AL168" s="30"/>
      <c r="AS168" s="50"/>
      <c r="AT168" s="50"/>
      <c r="AV168" s="50"/>
      <c r="AW168" s="50"/>
      <c r="BB168" s="35"/>
      <c r="BT168" s="30"/>
    </row>
    <row r="169" spans="14:72" s="34" customFormat="1" x14ac:dyDescent="0.2">
      <c r="N169" s="35"/>
      <c r="O169" s="44"/>
      <c r="P169" s="36"/>
      <c r="T169" s="35"/>
      <c r="U169" s="30"/>
      <c r="W169" s="30"/>
      <c r="X169" s="30"/>
      <c r="AB169" s="36"/>
      <c r="AG169" s="30"/>
      <c r="AH169" s="30"/>
      <c r="AI169" s="30"/>
      <c r="AJ169" s="30"/>
      <c r="AK169" s="30"/>
      <c r="AL169" s="30"/>
      <c r="AS169" s="50"/>
      <c r="AT169" s="50"/>
      <c r="AV169" s="50"/>
      <c r="AW169" s="50"/>
      <c r="BB169" s="35"/>
      <c r="BT169" s="30"/>
    </row>
    <row r="170" spans="14:72" s="34" customFormat="1" x14ac:dyDescent="0.2">
      <c r="N170" s="35"/>
      <c r="O170" s="44"/>
      <c r="P170" s="36"/>
      <c r="T170" s="35"/>
      <c r="U170" s="30"/>
      <c r="W170" s="30"/>
      <c r="X170" s="30"/>
      <c r="AB170" s="36"/>
      <c r="AG170" s="30"/>
      <c r="AH170" s="30"/>
      <c r="AI170" s="30"/>
      <c r="AJ170" s="30"/>
      <c r="AK170" s="30"/>
      <c r="AL170" s="30"/>
      <c r="AS170" s="50"/>
      <c r="AT170" s="50"/>
      <c r="AV170" s="50"/>
      <c r="AW170" s="50"/>
      <c r="BB170" s="35"/>
      <c r="BT170" s="30"/>
    </row>
    <row r="171" spans="14:72" s="34" customFormat="1" x14ac:dyDescent="0.2">
      <c r="N171" s="35"/>
      <c r="O171" s="44"/>
      <c r="P171" s="36"/>
      <c r="T171" s="35"/>
      <c r="U171" s="30"/>
      <c r="W171" s="30"/>
      <c r="X171" s="30"/>
      <c r="AB171" s="36"/>
      <c r="AG171" s="30"/>
      <c r="AH171" s="30"/>
      <c r="AI171" s="30"/>
      <c r="AJ171" s="30"/>
      <c r="AK171" s="30"/>
      <c r="AL171" s="30"/>
      <c r="AS171" s="50"/>
      <c r="AT171" s="50"/>
      <c r="AV171" s="50"/>
      <c r="AW171" s="50"/>
      <c r="BB171" s="35"/>
      <c r="BT171" s="30"/>
    </row>
    <row r="172" spans="14:72" s="34" customFormat="1" x14ac:dyDescent="0.2">
      <c r="N172" s="35"/>
      <c r="O172" s="44"/>
      <c r="P172" s="36"/>
      <c r="T172" s="35"/>
      <c r="U172" s="30"/>
      <c r="W172" s="30"/>
      <c r="X172" s="30"/>
      <c r="AB172" s="36"/>
      <c r="AG172" s="30"/>
      <c r="AH172" s="30"/>
      <c r="AI172" s="30"/>
      <c r="AJ172" s="30"/>
      <c r="AK172" s="30"/>
      <c r="AL172" s="30"/>
      <c r="AS172" s="50"/>
      <c r="AT172" s="50"/>
      <c r="AV172" s="50"/>
      <c r="AW172" s="50"/>
      <c r="BB172" s="35"/>
      <c r="BT172" s="30"/>
    </row>
    <row r="173" spans="14:72" s="34" customFormat="1" x14ac:dyDescent="0.2">
      <c r="N173" s="35"/>
      <c r="O173" s="44"/>
      <c r="P173" s="36"/>
      <c r="T173" s="35"/>
      <c r="U173" s="30"/>
      <c r="W173" s="30"/>
      <c r="X173" s="30"/>
      <c r="AB173" s="36"/>
      <c r="AG173" s="30"/>
      <c r="AH173" s="30"/>
      <c r="AI173" s="30"/>
      <c r="AJ173" s="30"/>
      <c r="AK173" s="30"/>
      <c r="AL173" s="30"/>
      <c r="AS173" s="50"/>
      <c r="AT173" s="50"/>
      <c r="AV173" s="50"/>
      <c r="AW173" s="50"/>
      <c r="BB173" s="35"/>
      <c r="BT173" s="30"/>
    </row>
    <row r="174" spans="14:72" s="34" customFormat="1" x14ac:dyDescent="0.2">
      <c r="N174" s="35"/>
      <c r="O174" s="44"/>
      <c r="P174" s="36"/>
      <c r="T174" s="35"/>
      <c r="U174" s="30"/>
      <c r="W174" s="30"/>
      <c r="X174" s="30"/>
      <c r="AB174" s="36"/>
      <c r="AG174" s="30"/>
      <c r="AH174" s="30"/>
      <c r="AI174" s="30"/>
      <c r="AJ174" s="30"/>
      <c r="AK174" s="30"/>
      <c r="AL174" s="30"/>
      <c r="AS174" s="50"/>
      <c r="AT174" s="50"/>
      <c r="AV174" s="50"/>
      <c r="AW174" s="50"/>
      <c r="BB174" s="35"/>
      <c r="BT174" s="30"/>
    </row>
    <row r="175" spans="14:72" s="34" customFormat="1" x14ac:dyDescent="0.2">
      <c r="U175" s="30"/>
      <c r="W175" s="30"/>
      <c r="X175" s="30"/>
      <c r="AG175" s="30"/>
      <c r="AH175" s="30"/>
      <c r="AI175" s="30"/>
      <c r="AJ175" s="30"/>
      <c r="AK175" s="30"/>
      <c r="AL175" s="30"/>
      <c r="AS175" s="50"/>
      <c r="AT175" s="50"/>
      <c r="AV175" s="50"/>
      <c r="AW175" s="50"/>
      <c r="BB175" s="35"/>
      <c r="BT175" s="30"/>
    </row>
    <row r="176" spans="14:72" s="34" customFormat="1" x14ac:dyDescent="0.2">
      <c r="U176" s="30"/>
      <c r="W176" s="30"/>
      <c r="X176" s="30"/>
      <c r="AG176" s="30"/>
      <c r="AH176" s="30"/>
      <c r="AI176" s="30"/>
      <c r="AJ176" s="30"/>
      <c r="AK176" s="30"/>
      <c r="AL176" s="30"/>
      <c r="AS176" s="50"/>
      <c r="AT176" s="50"/>
      <c r="AV176" s="50"/>
      <c r="AW176" s="50"/>
      <c r="BB176" s="35"/>
      <c r="BT176" s="30"/>
    </row>
    <row r="177" spans="21:72" s="34" customFormat="1" x14ac:dyDescent="0.2">
      <c r="U177" s="30"/>
      <c r="W177" s="30"/>
      <c r="X177" s="30"/>
      <c r="AG177" s="30"/>
      <c r="AH177" s="30"/>
      <c r="AI177" s="30"/>
      <c r="AJ177" s="30"/>
      <c r="AK177" s="30"/>
      <c r="AL177" s="30"/>
      <c r="AS177" s="50"/>
      <c r="AT177" s="50"/>
      <c r="AV177" s="50"/>
      <c r="AW177" s="50"/>
      <c r="BB177" s="35"/>
      <c r="BT177" s="30"/>
    </row>
    <row r="178" spans="21:72" s="34" customFormat="1" x14ac:dyDescent="0.2">
      <c r="U178" s="30"/>
      <c r="W178" s="30"/>
      <c r="X178" s="30"/>
      <c r="AG178" s="30"/>
      <c r="AH178" s="30"/>
      <c r="AI178" s="30"/>
      <c r="AJ178" s="30"/>
      <c r="AK178" s="30"/>
      <c r="AL178" s="30"/>
      <c r="AS178" s="50"/>
      <c r="AT178" s="50"/>
      <c r="AV178" s="50"/>
      <c r="AW178" s="50"/>
      <c r="BB178" s="35"/>
      <c r="BT178" s="30"/>
    </row>
  </sheetData>
  <sortState ref="A2:CX56">
    <sortCondition ref="B2:B5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clg</vt:lpstr>
      <vt:lpstr>Base_clg</vt:lpstr>
      <vt:lpstr>'Fiche clg'!Zone_d_impression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iioet_lrossignol</dc:creator>
  <cp:lastModifiedBy>Camille Horent</cp:lastModifiedBy>
  <cp:lastPrinted>2024-04-16T04:55:46Z</cp:lastPrinted>
  <dcterms:created xsi:type="dcterms:W3CDTF">2009-10-09T10:01:11Z</dcterms:created>
  <dcterms:modified xsi:type="dcterms:W3CDTF">2024-07-07T23:53:12Z</dcterms:modified>
</cp:coreProperties>
</file>